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DieseArbeitsmappe" defaultThemeVersion="124226"/>
  <mc:AlternateContent xmlns:mc="http://schemas.openxmlformats.org/markup-compatibility/2006">
    <mc:Choice Requires="x15">
      <x15ac:absPath xmlns:x15ac="http://schemas.microsoft.com/office/spreadsheetml/2010/11/ac" url="H:\Finanzen\Zuschüsse\000 Zuschussverfahren\Behindertenhilfe\BTHG\BTHG-Projektgruppe LIGA\KdU\"/>
    </mc:Choice>
  </mc:AlternateContent>
  <xr:revisionPtr revIDLastSave="0" documentId="13_ncr:1_{12355480-EE2B-4F0C-91C0-7FCC337580F0}" xr6:coauthVersionLast="47" xr6:coauthVersionMax="47" xr10:uidLastSave="{00000000-0000-0000-0000-000000000000}"/>
  <bookViews>
    <workbookView xWindow="-110" yWindow="-110" windowWidth="19420" windowHeight="1030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E Mietber." sheetId="5" r:id="rId9"/>
    <sheet name="Zimmer-Kat." sheetId="15" r:id="rId10"/>
    <sheet name="Anlage Inflationsraten" sheetId="10" r:id="rId11"/>
    <sheet name="Anlage atyp. Ausstattung" sheetId="16" r:id="rId12"/>
  </sheets>
  <definedNames>
    <definedName name="_xlnm.Print_Area" localSheetId="2">'A Flächen'!$A$1:$G$192</definedName>
    <definedName name="_xlnm.Print_Area" localSheetId="11">'Anlage atyp. Ausstattung'!$A$1:$F$64</definedName>
    <definedName name="_xlnm.Print_Area" localSheetId="3">'B_1 Geb. Kaltmiete'!$A$1:$F$122</definedName>
    <definedName name="_xlnm.Print_Area" localSheetId="4">'B_2 Sonder-Infrastr.'!$A$1:$H$166</definedName>
    <definedName name="_xlnm.Print_Area" localSheetId="5">'C_1 Nebenk.'!$A$1:$F$51</definedName>
    <definedName name="_xlnm.Print_Area" localSheetId="6">'C_2 NK Sonder-Infrastr.'!$A$1:$F$49</definedName>
    <definedName name="_xlnm.Print_Area" localSheetId="7">'D Ausstatt.'!$A$1:$F$30</definedName>
    <definedName name="_xlnm.Print_Area" localSheetId="8">'E Mietber.'!$A$1:$I$48</definedName>
    <definedName name="_xlnm.Print_Area" localSheetId="1">'Erg.-Übersicht'!$A$1:$E$51</definedName>
    <definedName name="_xlnm.Print_Area" localSheetId="0">Stammdaten!$A$1:$D$39</definedName>
    <definedName name="_xlnm.Print_Area" localSheetId="9">'Zimmer-Kat.'!$A$1:$F$65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3" l="1"/>
  <c r="D41" i="13"/>
  <c r="D40" i="13"/>
  <c r="D39" i="13"/>
  <c r="D38" i="13"/>
  <c r="D37" i="13"/>
  <c r="D36" i="13"/>
  <c r="D35" i="13"/>
  <c r="D34" i="13"/>
  <c r="D33" i="13"/>
  <c r="D32" i="13"/>
  <c r="D31" i="13"/>
  <c r="D30" i="13"/>
  <c r="D29" i="13"/>
  <c r="D28" i="13"/>
  <c r="D27" i="13"/>
  <c r="D26" i="13"/>
  <c r="D25" i="13"/>
  <c r="D24" i="13"/>
  <c r="E15" i="13"/>
  <c r="C15" i="13" s="1"/>
  <c r="F32" i="13" l="1"/>
  <c r="D14" i="13"/>
  <c r="D19" i="9"/>
  <c r="D13" i="13"/>
  <c r="D47" i="13"/>
  <c r="C47" i="13"/>
  <c r="D21" i="13"/>
  <c r="C21" i="13"/>
  <c r="C20" i="13"/>
  <c r="C19" i="13"/>
  <c r="C16" i="13"/>
  <c r="G8" i="13"/>
  <c r="G6" i="13"/>
  <c r="C21" i="9" l="1"/>
  <c r="E2" i="10"/>
  <c r="F2" i="9"/>
  <c r="J16" i="10"/>
  <c r="J17" i="10" s="1"/>
  <c r="J11" i="10"/>
  <c r="B26" i="9" l="1"/>
  <c r="C26" i="9" l="1"/>
  <c r="C49" i="9"/>
  <c r="B49" i="9"/>
  <c r="D18" i="9"/>
  <c r="B24" i="9"/>
  <c r="B25" i="9"/>
  <c r="E20" i="9"/>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J33" i="10"/>
  <c r="J34" i="10" s="1"/>
  <c r="J35" i="10"/>
  <c r="J30" i="10"/>
  <c r="J31" i="10" s="1"/>
  <c r="J32" i="10" s="1"/>
  <c r="J26" i="10"/>
  <c r="J27" i="10" s="1"/>
  <c r="J28" i="10" s="1"/>
  <c r="J29" i="10" s="1"/>
  <c r="J21" i="10"/>
  <c r="J22" i="10" s="1"/>
  <c r="J23" i="10" s="1"/>
  <c r="J24" i="10" s="1"/>
  <c r="J25" i="10" s="1"/>
  <c r="J18" i="10"/>
  <c r="J19" i="10" s="1"/>
  <c r="J20" i="10" s="1"/>
  <c r="J12" i="10"/>
  <c r="J6" i="10"/>
  <c r="J7" i="10" s="1"/>
  <c r="G13" i="9"/>
  <c r="G11" i="9"/>
  <c r="F2" i="13"/>
  <c r="J13" i="10" l="1"/>
  <c r="J14" i="10" s="1"/>
  <c r="J15" i="10" s="1"/>
  <c r="C20" i="9"/>
  <c r="C37" i="9" s="1"/>
  <c r="J8" i="10"/>
  <c r="J9" i="10" s="1"/>
  <c r="J10" i="10" s="1"/>
  <c r="E71" i="12"/>
  <c r="C45" i="9" l="1"/>
  <c r="C28" i="9"/>
  <c r="C41" i="9"/>
  <c r="C29" i="9"/>
  <c r="C39" i="9"/>
  <c r="C47" i="9"/>
  <c r="C36" i="9"/>
  <c r="C42" i="9"/>
  <c r="C40" i="9"/>
  <c r="C38" i="9"/>
  <c r="C31" i="9"/>
  <c r="C46" i="9"/>
  <c r="C34" i="9"/>
  <c r="C30" i="9"/>
  <c r="C44" i="9"/>
  <c r="C43" i="9"/>
  <c r="C35" i="9"/>
  <c r="C33" i="9"/>
  <c r="C32" i="9"/>
  <c r="D34" i="2"/>
  <c r="D36" i="2"/>
  <c r="D35" i="2"/>
  <c r="F30" i="13" l="1"/>
  <c r="E30" i="13"/>
  <c r="F29" i="13"/>
  <c r="E29" i="13"/>
  <c r="F25" i="13"/>
  <c r="E25" i="13"/>
  <c r="F36" i="13"/>
  <c r="E36" i="13"/>
  <c r="E41" i="13"/>
  <c r="F41" i="13"/>
  <c r="F28" i="13"/>
  <c r="E28" i="13"/>
  <c r="E24" i="13"/>
  <c r="D43" i="13"/>
  <c r="F24" i="13"/>
  <c r="E34" i="13"/>
  <c r="F34" i="13"/>
  <c r="F35" i="13"/>
  <c r="E35" i="13"/>
  <c r="E33" i="13"/>
  <c r="F33" i="13"/>
  <c r="F37" i="13"/>
  <c r="E37" i="13"/>
  <c r="E32" i="13"/>
  <c r="F42" i="13"/>
  <c r="E42" i="13"/>
  <c r="E39" i="13"/>
  <c r="F39" i="13"/>
  <c r="F40" i="13"/>
  <c r="E40" i="13"/>
  <c r="E27" i="13"/>
  <c r="F27" i="13"/>
  <c r="F31" i="13"/>
  <c r="E31" i="13"/>
  <c r="F38" i="13"/>
  <c r="E38" i="13"/>
  <c r="F26" i="13"/>
  <c r="E26" i="13"/>
  <c r="C48" i="9"/>
  <c r="C50" i="9" s="1"/>
  <c r="C51" i="9" s="1"/>
  <c r="C36" i="2"/>
  <c r="C34" i="2"/>
  <c r="C35" i="2"/>
  <c r="C49" i="2"/>
  <c r="I52" i="9" l="1"/>
  <c r="E43" i="13"/>
  <c r="D61" i="2"/>
  <c r="E2" i="14" l="1"/>
  <c r="I30" i="2"/>
  <c r="C138" i="12" l="1"/>
  <c r="A26" i="2" l="1"/>
  <c r="E6" i="3" l="1"/>
  <c r="F6" i="3"/>
  <c r="F7" i="3" s="1"/>
  <c r="E7" i="3"/>
  <c r="B26" i="2" l="1"/>
  <c r="F10" i="2" l="1"/>
  <c r="B28" i="2"/>
  <c r="B27" i="2"/>
  <c r="A34" i="2"/>
  <c r="A41" i="2" s="1"/>
  <c r="A25" i="2"/>
  <c r="A29" i="2"/>
  <c r="A28" i="2"/>
  <c r="A27" i="2"/>
  <c r="B29" i="2"/>
  <c r="B25" i="2"/>
  <c r="C50" i="2"/>
  <c r="C48" i="2"/>
  <c r="C47" i="2"/>
  <c r="E18" i="2"/>
  <c r="E14" i="2"/>
  <c r="G6" i="2" l="1"/>
  <c r="E63" i="15"/>
  <c r="D63" i="15"/>
  <c r="C63" i="15"/>
  <c r="B49" i="14"/>
  <c r="B51" i="14" s="1"/>
  <c r="G49" i="14" l="1"/>
  <c r="C65" i="15"/>
  <c r="D65" i="15"/>
  <c r="E65" i="15"/>
  <c r="H63" i="15"/>
  <c r="B48" i="9"/>
  <c r="B50" i="9" s="1"/>
  <c r="B51" i="9" s="1"/>
  <c r="D61" i="16"/>
  <c r="D62" i="16" s="1"/>
  <c r="D21" i="3" l="1"/>
  <c r="G8" i="3"/>
  <c r="G6" i="3"/>
  <c r="E8" i="3"/>
  <c r="D56" i="16"/>
  <c r="D64" i="16" s="1"/>
  <c r="F8" i="3" s="1"/>
  <c r="G9" i="3" s="1"/>
  <c r="A3" i="16"/>
  <c r="F2" i="16"/>
  <c r="D13" i="3" l="1"/>
  <c r="D24" i="3" s="1"/>
  <c r="B19" i="3" l="1"/>
  <c r="F120" i="2"/>
  <c r="D31" i="15" l="1"/>
  <c r="G13" i="2" l="1"/>
  <c r="G16" i="2" l="1"/>
  <c r="G11" i="2"/>
  <c r="H123" i="2"/>
  <c r="H122" i="2"/>
  <c r="G7" i="9" l="1"/>
  <c r="G6" i="9"/>
  <c r="G12" i="2"/>
  <c r="F9" i="9"/>
  <c r="F8" i="9"/>
  <c r="E9" i="9"/>
  <c r="E8" i="9"/>
  <c r="E7" i="9"/>
  <c r="E6" i="9"/>
  <c r="E15" i="2"/>
  <c r="E13" i="2"/>
  <c r="E12" i="2"/>
  <c r="E9" i="1" l="1"/>
  <c r="A3" i="1"/>
  <c r="H22" i="5" l="1"/>
  <c r="E29" i="2" l="1"/>
  <c r="G29" i="2" s="1"/>
  <c r="I24" i="15" l="1"/>
  <c r="I23" i="15"/>
  <c r="I22" i="15"/>
  <c r="I14" i="15"/>
  <c r="I16" i="15"/>
  <c r="I15" i="15"/>
  <c r="H93" i="2"/>
  <c r="H37" i="2"/>
  <c r="I31" i="2"/>
  <c r="E8" i="2" l="1"/>
  <c r="E9" i="2"/>
  <c r="A16" i="15"/>
  <c r="E50" i="2" l="1"/>
  <c r="E49" i="2"/>
  <c r="E48" i="2"/>
  <c r="E47" i="2"/>
  <c r="E31" i="15" l="1"/>
  <c r="D47" i="2"/>
  <c r="B17" i="14"/>
  <c r="E25" i="15"/>
  <c r="D25" i="15"/>
  <c r="C25" i="15"/>
  <c r="C31" i="15" l="1"/>
  <c r="E13" i="15"/>
  <c r="E21" i="15" l="1"/>
  <c r="E20" i="15"/>
  <c r="E7" i="15" l="1"/>
  <c r="C27" i="15" s="1"/>
  <c r="F2" i="15"/>
  <c r="F27" i="15" l="1"/>
  <c r="D14" i="15"/>
  <c r="D27" i="15" s="1"/>
  <c r="D22" i="15"/>
  <c r="E27" i="15" s="1"/>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0" i="2"/>
  <c r="C89" i="2"/>
  <c r="I71" i="12" l="1"/>
  <c r="E72" i="12"/>
  <c r="C49" i="12"/>
  <c r="C137" i="12"/>
  <c r="C29" i="12"/>
  <c r="G29" i="12"/>
  <c r="F29" i="12"/>
  <c r="H28" i="12"/>
  <c r="D29" i="12"/>
  <c r="E29" i="12"/>
  <c r="D67" i="12"/>
  <c r="C48" i="12"/>
  <c r="H19" i="12"/>
  <c r="D68" i="2"/>
  <c r="D98" i="2" s="1"/>
  <c r="B130" i="12" l="1"/>
  <c r="D45" i="13"/>
  <c r="D46" i="13" s="1"/>
  <c r="C45" i="13"/>
  <c r="D110" i="12"/>
  <c r="B140" i="12"/>
  <c r="B131" i="12"/>
  <c r="D131" i="12" s="1"/>
  <c r="B133" i="12"/>
  <c r="B139" i="12"/>
  <c r="D139" i="12" s="1"/>
  <c r="D114" i="12"/>
  <c r="D117" i="12" s="1"/>
  <c r="D83" i="12"/>
  <c r="D98" i="12" s="1"/>
  <c r="D147" i="12" s="1"/>
  <c r="D160" i="12" s="1"/>
  <c r="B124" i="12"/>
  <c r="B127" i="12" s="1"/>
  <c r="K127" i="12" s="1"/>
  <c r="D79" i="12"/>
  <c r="D108" i="12"/>
  <c r="D109" i="12"/>
  <c r="D82" i="12"/>
  <c r="C90" i="12" s="1"/>
  <c r="D116" i="12"/>
  <c r="B126" i="12"/>
  <c r="B138" i="12"/>
  <c r="D138" i="12" s="1"/>
  <c r="D115" i="12"/>
  <c r="B125" i="12"/>
  <c r="D81" i="12"/>
  <c r="D80" i="12"/>
  <c r="C88" i="12" s="1"/>
  <c r="D91" i="12"/>
  <c r="K91" i="12" s="1"/>
  <c r="B41" i="12"/>
  <c r="D41" i="12" s="1"/>
  <c r="D43" i="12" s="1"/>
  <c r="D48" i="12"/>
  <c r="C139" i="12"/>
  <c r="D49" i="12"/>
  <c r="C140" i="12"/>
  <c r="H29" i="12"/>
  <c r="K29" i="12" s="1"/>
  <c r="D130" i="12"/>
  <c r="G61" i="1"/>
  <c r="F61" i="1"/>
  <c r="E61" i="1"/>
  <c r="G60" i="1"/>
  <c r="F60" i="1"/>
  <c r="E60" i="1"/>
  <c r="D140" i="12" l="1"/>
  <c r="D48" i="13"/>
  <c r="D49" i="13" s="1"/>
  <c r="C89" i="12"/>
  <c r="D89" i="12" s="1"/>
  <c r="D95" i="12" s="1"/>
  <c r="B43" i="12"/>
  <c r="B46" i="12" s="1"/>
  <c r="D46" i="12" s="1"/>
  <c r="D50" i="12" s="1"/>
  <c r="D52" i="12" s="1"/>
  <c r="B132" i="12"/>
  <c r="D132" i="12" s="1"/>
  <c r="D134" i="12" s="1"/>
  <c r="D90" i="12"/>
  <c r="D96" i="12" s="1"/>
  <c r="D111" i="12"/>
  <c r="K111" i="12" s="1"/>
  <c r="D88" i="12"/>
  <c r="D84" i="12"/>
  <c r="D102" i="12" s="1"/>
  <c r="D104" i="12" s="1"/>
  <c r="D148" i="12" s="1"/>
  <c r="D161" i="12" s="1"/>
  <c r="D94" i="12"/>
  <c r="K117" i="12"/>
  <c r="D119" i="12" l="1"/>
  <c r="I50" i="13"/>
  <c r="C43" i="12"/>
  <c r="D99" i="12"/>
  <c r="C91" i="12"/>
  <c r="B134" i="12"/>
  <c r="B137" i="12" s="1"/>
  <c r="K134" i="12"/>
  <c r="K84" i="12"/>
  <c r="B50" i="12"/>
  <c r="B52" i="12" s="1"/>
  <c r="C134" i="12"/>
  <c r="D146" i="12"/>
  <c r="D159" i="12" s="1"/>
  <c r="D149" i="12"/>
  <c r="D162" i="12" s="1"/>
  <c r="K119" i="12"/>
  <c r="B141" i="12" l="1"/>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0" i="2" l="1"/>
  <c r="D60" i="2" s="1"/>
  <c r="H30" i="2" l="1"/>
  <c r="H31" i="2" s="1"/>
  <c r="D8" i="14" l="1"/>
  <c r="I2" i="5" l="1"/>
  <c r="F2" i="3"/>
  <c r="F2" i="2"/>
  <c r="G2" i="1"/>
  <c r="C20" i="3" l="1"/>
  <c r="B83" i="2" l="1"/>
  <c r="B77" i="2" l="1"/>
  <c r="D82" i="2"/>
  <c r="B84" i="2"/>
  <c r="C43" i="13" l="1"/>
  <c r="A3" i="13"/>
  <c r="C46" i="13" l="1"/>
  <c r="G14" i="5"/>
  <c r="F43" i="13"/>
  <c r="H14" i="5"/>
  <c r="I43" i="13" l="1"/>
  <c r="D33" i="15"/>
  <c r="C33" i="15"/>
  <c r="E33" i="15"/>
  <c r="B19" i="14"/>
  <c r="A3" i="10" l="1"/>
  <c r="F29" i="5"/>
  <c r="A3" i="5"/>
  <c r="C28" i="3"/>
  <c r="C29" i="3" s="1"/>
  <c r="A3" i="3"/>
  <c r="A3" i="9"/>
  <c r="G51" i="14" l="1"/>
  <c r="H65" i="15"/>
  <c r="B20" i="3"/>
  <c r="D20" i="3" s="1"/>
  <c r="D15" i="3"/>
  <c r="D22" i="3" l="1"/>
  <c r="D26" i="3" s="1"/>
  <c r="B87" i="2"/>
  <c r="B91"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2" i="2"/>
  <c r="C3" i="2"/>
  <c r="B3" i="13"/>
  <c r="C3" i="1"/>
  <c r="C3" i="3"/>
  <c r="B3" i="10"/>
  <c r="B3" i="9"/>
  <c r="D3" i="5"/>
  <c r="D37" i="2"/>
  <c r="I37" i="2" s="1"/>
  <c r="F104" i="1"/>
  <c r="F107" i="1" s="1"/>
  <c r="G104" i="1"/>
  <c r="G107" i="1" s="1"/>
  <c r="E104" i="1"/>
  <c r="E107" i="1" s="1"/>
  <c r="G66" i="1"/>
  <c r="G91" i="1"/>
  <c r="E91" i="1"/>
  <c r="F91" i="1"/>
  <c r="F66" i="1"/>
  <c r="E66" i="1"/>
  <c r="B11" i="14" l="1"/>
  <c r="D11" i="14" s="1"/>
  <c r="G11" i="14" s="1"/>
  <c r="J66" i="1"/>
  <c r="J91" i="1"/>
  <c r="J107" i="1"/>
  <c r="G154" i="1"/>
  <c r="G155" i="1"/>
  <c r="F155" i="1"/>
  <c r="D157" i="1"/>
  <c r="E156" i="1" s="1"/>
  <c r="E152" i="1"/>
  <c r="F154" i="1"/>
  <c r="E154" i="1" l="1"/>
  <c r="E160" i="1" s="1"/>
  <c r="D160" i="1" s="1"/>
  <c r="E155" i="1"/>
  <c r="E165" i="1"/>
  <c r="D165" i="1" s="1"/>
  <c r="F165" i="1" s="1"/>
  <c r="E166" i="1"/>
  <c r="D166" i="1" s="1"/>
  <c r="F166" i="1" s="1"/>
  <c r="E162" i="1"/>
  <c r="D162" i="1" s="1"/>
  <c r="D171" i="1" s="1"/>
  <c r="B103" i="2"/>
  <c r="B105" i="2" s="1"/>
  <c r="E157" i="1" l="1"/>
  <c r="E109" i="1"/>
  <c r="E112" i="1" s="1"/>
  <c r="F160" i="1"/>
  <c r="D169" i="1"/>
  <c r="D174" i="1"/>
  <c r="B12" i="14" s="1"/>
  <c r="D185" i="1"/>
  <c r="D186" i="1" s="1"/>
  <c r="F185" i="1" s="1"/>
  <c r="E161" i="1"/>
  <c r="D161" i="1" s="1"/>
  <c r="J166" i="1" s="1"/>
  <c r="F109" i="1"/>
  <c r="E116" i="1"/>
  <c r="E114" i="1"/>
  <c r="E115" i="1"/>
  <c r="E118" i="1"/>
  <c r="G109" i="1"/>
  <c r="D81" i="2"/>
  <c r="D80" i="2"/>
  <c r="D90" i="2"/>
  <c r="D89" i="2"/>
  <c r="D88" i="2"/>
  <c r="B50" i="2"/>
  <c r="B49" i="2"/>
  <c r="B48" i="2"/>
  <c r="B47" i="2"/>
  <c r="C43" i="2"/>
  <c r="B43" i="2"/>
  <c r="C42" i="2"/>
  <c r="B42" i="2"/>
  <c r="C41" i="2"/>
  <c r="B41" i="2"/>
  <c r="B40" i="2"/>
  <c r="A40" i="2"/>
  <c r="A47" i="2" s="1"/>
  <c r="C37" i="2"/>
  <c r="B36" i="2"/>
  <c r="A36" i="2"/>
  <c r="A43" i="2" s="1"/>
  <c r="A50" i="2" s="1"/>
  <c r="B35" i="2"/>
  <c r="A35" i="2"/>
  <c r="A42" i="2" s="1"/>
  <c r="A49" i="2" s="1"/>
  <c r="B34" i="2"/>
  <c r="A48" i="2"/>
  <c r="E120" i="1" l="1"/>
  <c r="E126" i="1"/>
  <c r="E113" i="1"/>
  <c r="E121" i="1"/>
  <c r="E122" i="1"/>
  <c r="E123" i="1"/>
  <c r="E119" i="1"/>
  <c r="E124" i="1"/>
  <c r="E125" i="1"/>
  <c r="E117" i="1"/>
  <c r="F174" i="1"/>
  <c r="D175" i="1"/>
  <c r="C12" i="14" s="1"/>
  <c r="D12" i="14" s="1"/>
  <c r="D170" i="1"/>
  <c r="D172" i="1" s="1"/>
  <c r="E171" i="1" s="1"/>
  <c r="F161" i="1"/>
  <c r="D189" i="1"/>
  <c r="D190" i="1" s="1"/>
  <c r="F184" i="1"/>
  <c r="F186" i="1" s="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44" i="2"/>
  <c r="D44" i="2"/>
  <c r="D43" i="2" s="1"/>
  <c r="D50" i="2" s="1"/>
  <c r="D83" i="2"/>
  <c r="D84" i="2" s="1"/>
  <c r="E127" i="1" l="1"/>
  <c r="J190" i="1"/>
  <c r="D192" i="1"/>
  <c r="E190" i="1" s="1"/>
  <c r="F175" i="1"/>
  <c r="F176" i="1" s="1"/>
  <c r="D176" i="1"/>
  <c r="J176" i="1" s="1"/>
  <c r="F127" i="1"/>
  <c r="G127" i="1"/>
  <c r="D41" i="2"/>
  <c r="D48" i="2" s="1"/>
  <c r="D42" i="2"/>
  <c r="D49" i="2" s="1"/>
  <c r="D97" i="2"/>
  <c r="G12" i="14" l="1"/>
  <c r="D51" i="2"/>
  <c r="E185" i="1"/>
  <c r="E175" i="1"/>
  <c r="E174" i="1"/>
  <c r="D27" i="9" s="1"/>
  <c r="D44" i="9" s="1"/>
  <c r="E44" i="9" s="1"/>
  <c r="E169" i="1"/>
  <c r="E170" i="1"/>
  <c r="E184" i="1"/>
  <c r="F15" i="2"/>
  <c r="J172" i="1"/>
  <c r="J127" i="1"/>
  <c r="F14" i="2"/>
  <c r="G149" i="1"/>
  <c r="J171" i="1" s="1"/>
  <c r="D56" i="2"/>
  <c r="B93" i="2"/>
  <c r="I93" i="2" s="1"/>
  <c r="D87" i="2"/>
  <c r="D91" i="2" s="1"/>
  <c r="D43" i="9" l="1"/>
  <c r="D28" i="9"/>
  <c r="E28" i="9" s="1"/>
  <c r="D46" i="9"/>
  <c r="D37" i="9"/>
  <c r="D33" i="9"/>
  <c r="D30" i="9"/>
  <c r="D42" i="9"/>
  <c r="D39" i="9"/>
  <c r="D29" i="9"/>
  <c r="D41" i="9"/>
  <c r="D34" i="9"/>
  <c r="D40" i="9"/>
  <c r="D36" i="9"/>
  <c r="D32" i="9"/>
  <c r="D38" i="9"/>
  <c r="D45" i="9"/>
  <c r="D31" i="9"/>
  <c r="D47" i="9"/>
  <c r="D35" i="9"/>
  <c r="E107" i="2"/>
  <c r="E8" i="16"/>
  <c r="E12" i="3"/>
  <c r="F8" i="16"/>
  <c r="F12" i="3"/>
  <c r="E186" i="1"/>
  <c r="E172" i="1"/>
  <c r="F6" i="9"/>
  <c r="E129" i="1"/>
  <c r="F7" i="9"/>
  <c r="F27" i="9"/>
  <c r="F44" i="9" s="1"/>
  <c r="F107" i="2"/>
  <c r="F13" i="2"/>
  <c r="F12" i="2"/>
  <c r="F129" i="1"/>
  <c r="E176" i="1"/>
  <c r="D93" i="2"/>
  <c r="D99" i="2" s="1"/>
  <c r="F42" i="9" l="1"/>
  <c r="F35" i="9"/>
  <c r="F41" i="9"/>
  <c r="F38" i="9"/>
  <c r="F36" i="9"/>
  <c r="F33" i="9"/>
  <c r="F46" i="9"/>
  <c r="F40" i="9"/>
  <c r="F32" i="9"/>
  <c r="F47" i="9"/>
  <c r="F39" i="9"/>
  <c r="F37" i="9"/>
  <c r="F28" i="9"/>
  <c r="F45" i="9"/>
  <c r="F29" i="9"/>
  <c r="F34" i="9"/>
  <c r="F30" i="9"/>
  <c r="F43" i="9"/>
  <c r="F31" i="9"/>
  <c r="F13" i="3"/>
  <c r="F24" i="3" s="1"/>
  <c r="F21" i="3"/>
  <c r="F20" i="3"/>
  <c r="F62" i="16"/>
  <c r="F43" i="16"/>
  <c r="F27" i="16"/>
  <c r="F11" i="16"/>
  <c r="F40" i="16"/>
  <c r="F24" i="16"/>
  <c r="F13" i="16"/>
  <c r="F9" i="16"/>
  <c r="F41" i="16"/>
  <c r="F25" i="16"/>
  <c r="F54" i="16"/>
  <c r="F38" i="16"/>
  <c r="F22" i="16"/>
  <c r="F42" i="16"/>
  <c r="F55" i="16"/>
  <c r="F39" i="16"/>
  <c r="F23" i="16"/>
  <c r="F52" i="16"/>
  <c r="F36" i="16"/>
  <c r="F20" i="16"/>
  <c r="F16" i="16"/>
  <c r="F15" i="16"/>
  <c r="F53" i="16"/>
  <c r="F37" i="16"/>
  <c r="F21" i="16"/>
  <c r="F50" i="16"/>
  <c r="F34" i="16"/>
  <c r="F18" i="16"/>
  <c r="F32" i="16"/>
  <c r="F31" i="16"/>
  <c r="F45" i="16"/>
  <c r="F10" i="16"/>
  <c r="F51" i="16"/>
  <c r="F35" i="16"/>
  <c r="F19" i="16"/>
  <c r="F48" i="16"/>
  <c r="F44" i="16"/>
  <c r="F26" i="16"/>
  <c r="F49" i="16"/>
  <c r="F33" i="16"/>
  <c r="F17" i="16"/>
  <c r="F46" i="16"/>
  <c r="F30" i="16"/>
  <c r="F14" i="16"/>
  <c r="F12" i="16"/>
  <c r="F47" i="16"/>
  <c r="F28" i="16"/>
  <c r="F29" i="16"/>
  <c r="E21" i="3"/>
  <c r="E13" i="3"/>
  <c r="E20" i="3"/>
  <c r="E62" i="16"/>
  <c r="E45" i="16"/>
  <c r="E29" i="16"/>
  <c r="E13" i="16"/>
  <c r="E50" i="16"/>
  <c r="E34" i="16"/>
  <c r="E12" i="16"/>
  <c r="E43" i="16"/>
  <c r="E27" i="16"/>
  <c r="E11" i="16"/>
  <c r="E48" i="16"/>
  <c r="E32" i="16"/>
  <c r="E47" i="16"/>
  <c r="E9" i="16"/>
  <c r="E41" i="16"/>
  <c r="E25" i="16"/>
  <c r="E24" i="16"/>
  <c r="E46" i="16"/>
  <c r="E30" i="16"/>
  <c r="E14" i="16"/>
  <c r="E55" i="16"/>
  <c r="E39" i="16"/>
  <c r="E23" i="16"/>
  <c r="E20" i="16"/>
  <c r="E44" i="16"/>
  <c r="E28" i="16"/>
  <c r="E15" i="16"/>
  <c r="E53" i="16"/>
  <c r="E37" i="16"/>
  <c r="E21" i="16"/>
  <c r="E16" i="16"/>
  <c r="E42" i="16"/>
  <c r="E26" i="16"/>
  <c r="E52" i="16"/>
  <c r="E51" i="16"/>
  <c r="E35" i="16"/>
  <c r="E19" i="16"/>
  <c r="E10"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I62" i="16" l="1"/>
  <c r="E24" i="3"/>
  <c r="E15" i="3"/>
  <c r="E56" i="16"/>
  <c r="F56" i="16"/>
  <c r="F64" i="16" s="1"/>
  <c r="F147" i="1"/>
  <c r="E147" i="1"/>
  <c r="E149" i="1" s="1"/>
  <c r="I56" i="16" l="1"/>
  <c r="E64" i="16"/>
  <c r="I64" i="16" s="1"/>
  <c r="J169" i="1"/>
  <c r="J174" i="1"/>
  <c r="J147" i="1"/>
  <c r="F149" i="1"/>
  <c r="J175" i="1" s="1"/>
  <c r="J170" i="1" l="1"/>
  <c r="J149" i="1"/>
  <c r="C7" i="10"/>
  <c r="C8" i="10" s="1"/>
  <c r="C9" i="10" s="1"/>
  <c r="C10" i="10" s="1"/>
  <c r="C11" i="10" s="1"/>
  <c r="I13" i="3"/>
  <c r="D111" i="2"/>
  <c r="D110" i="2"/>
  <c r="D109" i="2"/>
  <c r="C12" i="10" l="1"/>
  <c r="C13" i="10" s="1"/>
  <c r="C14" i="10" s="1"/>
  <c r="C15" i="10" s="1"/>
  <c r="C16" i="10" s="1"/>
  <c r="C17" i="10" s="1"/>
  <c r="C18" i="10" s="1"/>
  <c r="C19" i="10" s="1"/>
  <c r="C20" i="10" s="1"/>
  <c r="E56" i="15"/>
  <c r="D56" i="15"/>
  <c r="C56" i="15"/>
  <c r="B42" i="14"/>
  <c r="F15" i="3"/>
  <c r="B118" i="2" l="1"/>
  <c r="D118" i="2" s="1"/>
  <c r="E118" i="2" s="1"/>
  <c r="E22" i="3"/>
  <c r="E26" i="3" s="1"/>
  <c r="D30" i="3"/>
  <c r="D55" i="2"/>
  <c r="D52" i="2"/>
  <c r="D96" i="2" s="1"/>
  <c r="D108" i="2" l="1"/>
  <c r="D112" i="2" s="1"/>
  <c r="F22" i="3"/>
  <c r="D100" i="2"/>
  <c r="D57" i="2"/>
  <c r="I22" i="3" l="1"/>
  <c r="F26" i="3"/>
  <c r="D113" i="2"/>
  <c r="D114" i="2" s="1"/>
  <c r="E114" i="2" l="1"/>
  <c r="F114" i="2"/>
  <c r="F122" i="2" s="1"/>
  <c r="F30" i="3"/>
  <c r="I10" i="5" s="1"/>
  <c r="D119" i="2" l="1"/>
  <c r="C48" i="13"/>
  <c r="C49" i="13" s="1"/>
  <c r="F46" i="13"/>
  <c r="E46" i="13"/>
  <c r="I8" i="5"/>
  <c r="I46" i="13" l="1"/>
  <c r="E119" i="2"/>
  <c r="E120" i="2" s="1"/>
  <c r="E122" i="2" s="1"/>
  <c r="H8" i="5" s="1"/>
  <c r="E6" i="15" s="1"/>
  <c r="C28" i="15" s="1"/>
  <c r="D120" i="2"/>
  <c r="F28" i="15"/>
  <c r="C15" i="14"/>
  <c r="F29" i="15"/>
  <c r="F48" i="13"/>
  <c r="F49" i="13" s="1"/>
  <c r="I14" i="5" s="1"/>
  <c r="E48" i="13"/>
  <c r="I48" i="13" s="1"/>
  <c r="E30" i="3"/>
  <c r="H10" i="5" s="1"/>
  <c r="G10" i="5" s="1"/>
  <c r="F48" i="9"/>
  <c r="F50" i="9" s="1"/>
  <c r="C14" i="14"/>
  <c r="E49" i="13" l="1"/>
  <c r="I49" i="13" s="1"/>
  <c r="E8" i="15"/>
  <c r="C22" i="15" s="1"/>
  <c r="C23" i="15" s="1"/>
  <c r="H23" i="15" s="1"/>
  <c r="I122" i="2"/>
  <c r="B14" i="14"/>
  <c r="D14" i="14" s="1"/>
  <c r="G8" i="5"/>
  <c r="D122" i="2"/>
  <c r="I123" i="2" s="1"/>
  <c r="B15" i="14"/>
  <c r="D29" i="15"/>
  <c r="D54" i="15" s="1"/>
  <c r="E29" i="15"/>
  <c r="E54" i="15" s="1"/>
  <c r="C29" i="15"/>
  <c r="C54" i="15" s="1"/>
  <c r="F33" i="15"/>
  <c r="C19" i="14"/>
  <c r="D19" i="14" s="1"/>
  <c r="G19" i="14" s="1"/>
  <c r="I30" i="3"/>
  <c r="D15" i="14" l="1"/>
  <c r="G15" i="14" s="1"/>
  <c r="B40" i="14"/>
  <c r="C14" i="15"/>
  <c r="C15" i="15" s="1"/>
  <c r="H15" i="15" s="1"/>
  <c r="G14" i="14"/>
  <c r="D28" i="15"/>
  <c r="E28" i="15"/>
  <c r="E22" i="15"/>
  <c r="E23" i="15" s="1"/>
  <c r="H24" i="15" s="1"/>
  <c r="F51" i="9"/>
  <c r="I9" i="5" s="1"/>
  <c r="F30" i="15" s="1"/>
  <c r="E14" i="15" l="1"/>
  <c r="E15" i="15" s="1"/>
  <c r="H16" i="15" s="1"/>
  <c r="H28" i="15"/>
  <c r="C16" i="14"/>
  <c r="D166" i="12"/>
  <c r="G13" i="5" s="1"/>
  <c r="F166" i="12" l="1"/>
  <c r="I13" i="5" s="1"/>
  <c r="E166" i="12"/>
  <c r="H13" i="5" s="1"/>
  <c r="D32" i="15" s="1"/>
  <c r="C32" i="15" l="1"/>
  <c r="E32" i="15"/>
  <c r="B18" i="14"/>
  <c r="C18" i="14"/>
  <c r="F32" i="15"/>
  <c r="D18" i="14" l="1"/>
  <c r="G18" i="14" s="1"/>
  <c r="E41" i="9" l="1"/>
  <c r="E45" i="9"/>
  <c r="E34" i="9"/>
  <c r="E42" i="9"/>
  <c r="E38" i="9"/>
  <c r="E40" i="9"/>
  <c r="E36" i="9"/>
  <c r="E30" i="9"/>
  <c r="E35" i="9"/>
  <c r="E29" i="9"/>
  <c r="E32" i="9"/>
  <c r="E33" i="9"/>
  <c r="E31" i="9"/>
  <c r="E39" i="9"/>
  <c r="E43" i="9"/>
  <c r="E37" i="9"/>
  <c r="E47" i="9"/>
  <c r="E46" i="9"/>
  <c r="D55" i="15" l="1"/>
  <c r="E55" i="15"/>
  <c r="E57" i="15"/>
  <c r="D57" i="15"/>
  <c r="C57" i="15"/>
  <c r="B43" i="14"/>
  <c r="C55" i="15"/>
  <c r="B41" i="14"/>
  <c r="D48" i="9"/>
  <c r="D50" i="9" s="1"/>
  <c r="D51" i="9" s="1"/>
  <c r="J52" i="9" s="1"/>
  <c r="H9" i="5" l="1"/>
  <c r="C30" i="15" l="1"/>
  <c r="C34" i="15" s="1"/>
  <c r="C64" i="15" s="1"/>
  <c r="D30" i="15"/>
  <c r="D34" i="15" s="1"/>
  <c r="E30" i="15"/>
  <c r="E34" i="15" s="1"/>
  <c r="H15" i="5"/>
  <c r="G9" i="5"/>
  <c r="G12" i="5" s="1"/>
  <c r="I12" i="5" s="1"/>
  <c r="B16" i="14"/>
  <c r="D16" i="14" s="1"/>
  <c r="B50" i="14" l="1"/>
  <c r="G50" i="14" s="1"/>
  <c r="C36" i="15"/>
  <c r="C39" i="15" s="1"/>
  <c r="C42" i="15" s="1"/>
  <c r="C58" i="15"/>
  <c r="C59" i="15" s="1"/>
  <c r="E64" i="15"/>
  <c r="E58" i="15"/>
  <c r="E59" i="15" s="1"/>
  <c r="E36" i="15"/>
  <c r="E39" i="15" s="1"/>
  <c r="E42" i="15" s="1"/>
  <c r="D64" i="15"/>
  <c r="D58" i="15"/>
  <c r="D59" i="15" s="1"/>
  <c r="D36" i="15"/>
  <c r="D39" i="15" s="1"/>
  <c r="D42" i="15" s="1"/>
  <c r="B20" i="14"/>
  <c r="B44" i="14" s="1"/>
  <c r="B45" i="14" s="1"/>
  <c r="H24" i="5"/>
  <c r="A38" i="15" s="1"/>
  <c r="G15" i="5"/>
  <c r="C17" i="14"/>
  <c r="F31" i="15"/>
  <c r="F34" i="15" s="1"/>
  <c r="I15" i="5"/>
  <c r="G16" i="14"/>
  <c r="H64" i="15" l="1"/>
  <c r="D43" i="15"/>
  <c r="E43" i="15"/>
  <c r="H30" i="5"/>
  <c r="H34" i="5" s="1"/>
  <c r="H39" i="5" s="1"/>
  <c r="A25" i="5"/>
  <c r="A25" i="14"/>
  <c r="I24" i="5"/>
  <c r="C43" i="15"/>
  <c r="C20" i="14"/>
  <c r="D17" i="14"/>
  <c r="C47" i="15" l="1"/>
  <c r="C50" i="15" s="1"/>
  <c r="C46" i="15"/>
  <c r="E47" i="15"/>
  <c r="E50" i="15" s="1"/>
  <c r="E46" i="15"/>
  <c r="D46" i="15"/>
  <c r="D47" i="15"/>
  <c r="D50" i="15" s="1"/>
  <c r="H32" i="5"/>
  <c r="B23" i="14" s="1"/>
  <c r="D23" i="14" s="1"/>
  <c r="I34" i="5"/>
  <c r="G24" i="5"/>
  <c r="G17" i="14"/>
  <c r="D20" i="14"/>
  <c r="B26" i="14"/>
  <c r="H51" i="5"/>
  <c r="H41" i="5"/>
  <c r="H50" i="15" l="1"/>
  <c r="D26" i="14"/>
  <c r="B29" i="14"/>
  <c r="H50" i="5"/>
  <c r="I41" i="5"/>
  <c r="G34" i="5"/>
  <c r="G20" i="14"/>
  <c r="H34" i="15"/>
  <c r="D29" i="14" l="1"/>
  <c r="I46" i="5"/>
  <c r="G41" i="5"/>
  <c r="F43" i="15" l="1"/>
  <c r="F46" i="15" s="1"/>
  <c r="C30" i="14"/>
  <c r="I51" i="5"/>
  <c r="G51" i="5" s="1"/>
  <c r="H48" i="5"/>
  <c r="I50" i="5"/>
  <c r="G50" i="5" s="1"/>
  <c r="D30" i="14" l="1"/>
  <c r="C33" i="14"/>
  <c r="D33" i="14" l="1"/>
  <c r="D34" i="14"/>
  <c r="G3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29" authorId="0" shapeId="0" xr:uid="{00000000-0006-0000-0300-000001000000}">
      <text>
        <r>
          <rPr>
            <sz val="9"/>
            <color indexed="81"/>
            <rFont val="Tahoma"/>
            <family val="2"/>
          </rPr>
          <t>Tatsächliche und betriebsnotwendige Kosten der KG 700 von bis zu 22% der Summe der KG 300 – 500 werden ohne weitere Nachweise als angemessen anerkannt.</t>
        </r>
      </text>
    </comment>
    <comment ref="A46"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D18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87"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89"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0"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04"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t>
        </r>
      </text>
    </comment>
    <comment ref="D112" authorId="0" shapeId="0" xr:uid="{00000000-0006-0000-0300-000007000000}">
      <text>
        <r>
          <rPr>
            <sz val="9"/>
            <color indexed="81"/>
            <rFont val="Tahoma"/>
            <family val="2"/>
          </rPr>
          <t>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Wurde "x" in Feld D6 gesetzt (Berechnung auf Basis der Ist-Kosten), wird hier die sich ergebende Kaltmiete pro Tag ausgegeben und anschließend in einen Monatsmiete umgerechnet.</t>
        </r>
      </text>
    </comment>
    <comment ref="B118" authorId="0" shapeId="0" xr:uid="{00000000-0006-0000-0300-000008000000}">
      <text>
        <r>
          <rPr>
            <sz val="9"/>
            <color indexed="81"/>
            <rFont val="Tahoma"/>
            <family val="2"/>
          </rPr>
          <t>Bitte achten Sie darauf, im Reiter "Anl. Verw.kosten" die Werte auf den Stand des aktuellen Jahres zu aktualisieren.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8" authorId="0" shapeId="0" xr:uid="{5246BF12-C0DF-4970-A2B7-611B1B72D3D8}">
      <text>
        <r>
          <rPr>
            <sz val="9"/>
            <color indexed="81"/>
            <rFont val="Segoe UI"/>
            <family val="2"/>
          </rPr>
          <t>Gemeint ist das Jahr, für das zuletzt Einzelwerte geeint wurden.</t>
        </r>
      </text>
    </comment>
    <comment ref="A41" authorId="0" shapeId="0" xr:uid="{D65274C7-90A4-46E8-84D4-7C3B6BD9B472}">
      <text>
        <r>
          <rPr>
            <b/>
            <sz val="9"/>
            <color indexed="81"/>
            <rFont val="Segoe UI"/>
            <family val="2"/>
          </rPr>
          <t xml:space="preserve">Bitte ändern Sie die Positionierung der Zeile für Telekommunikation u.a. </t>
        </r>
        <r>
          <rPr>
            <b/>
            <u/>
            <sz val="9"/>
            <color indexed="81"/>
            <rFont val="Segoe UI"/>
            <family val="2"/>
          </rPr>
          <t>nicht</t>
        </r>
        <r>
          <rPr>
            <b/>
            <sz val="9"/>
            <color indexed="81"/>
            <rFont val="Segoe UI"/>
            <family val="2"/>
          </rPr>
          <t xml:space="preserve"> manuell ab</t>
        </r>
        <r>
          <rPr>
            <sz val="9"/>
            <color indexed="81"/>
            <rFont val="Segoe UI"/>
            <family val="2"/>
          </rPr>
          <t>, da das Tool aus diesem Wert die Zuschläge für Telekommunikation sowie Zugang zu Rundfunk, Fernsehen, Internet  automatisiert berechnet und in der Ergebnisübersicht unter den Zuschlägen gem. §42a Absatz 5 Satz 4 Nr.1-4 SGB XII ausweist.</t>
        </r>
      </text>
    </comment>
    <comment ref="A44"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3" authorId="0" shapeId="0" xr:uid="{C1A400F7-BF99-4977-95A4-7644EF156437}">
      <text>
        <r>
          <rPr>
            <sz val="9"/>
            <color indexed="81"/>
            <rFont val="Segoe UI"/>
            <family val="2"/>
          </rPr>
          <t>Gemeint ist das Jahr, für das zuletzt Einzelwerte geeint wurden.</t>
        </r>
      </text>
    </comment>
    <comment ref="F22"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C20" authorId="0" shapeId="0" xr:uid="{00000000-0006-0000-0700-000001000000}">
      <text>
        <r>
          <rPr>
            <sz val="9"/>
            <color indexed="81"/>
            <rFont val="Tahoma"/>
            <family val="2"/>
          </rPr>
          <t xml:space="preserve">wie EK-Zins Gebäude Kaltmiete Reiter B_1, wird per Formel übernommen.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21" authorId="0" shapeId="0" xr:uid="{00000000-0006-0000-0800-000001000000}">
      <text>
        <r>
          <rPr>
            <sz val="9"/>
            <color indexed="81"/>
            <rFont val="Tahoma"/>
            <family val="2"/>
          </rPr>
          <t xml:space="preserve">Diesen Wert muss die Kommune zur Verfügung stellen.
</t>
        </r>
      </text>
    </comment>
  </commentList>
</comments>
</file>

<file path=xl/sharedStrings.xml><?xml version="1.0" encoding="utf-8"?>
<sst xmlns="http://schemas.openxmlformats.org/spreadsheetml/2006/main" count="720" uniqueCount="378">
  <si>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</si>
  <si>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</si>
  <si>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</si>
  <si>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</si>
  <si>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</si>
  <si>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</si>
  <si>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</si>
  <si>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</si>
  <si>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</si>
  <si>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</si>
  <si>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</si>
  <si>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</si>
  <si>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</si>
  <si>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</si>
  <si>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</si>
  <si>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</si>
  <si>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</si>
  <si>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</si>
  <si>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</si>
  <si>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</si>
  <si>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Anteil
Fachleistung</t>
  </si>
  <si>
    <t>Anteil 
Pers. Wohnraum</t>
  </si>
  <si>
    <t>Gesamt</t>
  </si>
  <si>
    <t>Schritt A: Flächenschlüssel</t>
  </si>
  <si>
    <t>Schritt D: Ausstattungskosten</t>
  </si>
  <si>
    <t>Abschreibung</t>
  </si>
  <si>
    <t>Zinsen</t>
  </si>
  <si>
    <t>Miete/Leasing</t>
  </si>
  <si>
    <t>Übernahme durch Sozialhilfe: max. weitere</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</si>
  <si>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</si>
  <si>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</si>
  <si>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</si>
  <si>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</si>
  <si>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</si>
  <si>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</si>
  <si>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</si>
  <si>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</si>
  <si>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</si>
  <si>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</si>
  <si>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</si>
  <si>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</si>
  <si>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</si>
  <si>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</si>
  <si>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</si>
  <si>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</si>
  <si>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</si>
  <si>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</si>
  <si>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</si>
  <si>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</si>
  <si>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</si>
  <si>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</si>
  <si>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Sozialhilfe</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</si>
  <si>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</si>
  <si>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</si>
  <si>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</si>
  <si>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</si>
  <si>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</si>
  <si>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</si>
  <si>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</si>
  <si>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</si>
  <si>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</si>
  <si>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</si>
  <si>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</si>
  <si>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</si>
  <si>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</si>
  <si>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</si>
  <si>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</si>
  <si>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</si>
  <si>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</si>
  <si>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</si>
  <si>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</si>
  <si>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</si>
  <si>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</si>
  <si>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</si>
  <si>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</si>
  <si>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</si>
  <si>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</si>
  <si>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</si>
  <si>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</si>
  <si>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</si>
  <si>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</si>
  <si>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</si>
  <si>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</si>
  <si>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</si>
  <si>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</si>
  <si>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</si>
  <si>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</si>
  <si>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</si>
  <si>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</si>
  <si>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</si>
  <si>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</si>
  <si>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</si>
  <si>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</si>
  <si>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</si>
  <si>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</si>
  <si>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</si>
  <si>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</si>
  <si>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</si>
  <si>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</si>
  <si>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</si>
  <si>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</si>
  <si>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</si>
  <si>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</si>
  <si>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</si>
  <si>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</si>
  <si>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</si>
  <si>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</si>
  <si>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</si>
  <si>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</si>
  <si>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</si>
  <si>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</si>
  <si>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</si>
  <si>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</si>
  <si>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</si>
  <si>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</si>
  <si>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</si>
  <si>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</si>
  <si>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</si>
  <si>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</si>
  <si>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</si>
  <si>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</si>
  <si>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</si>
  <si>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</si>
  <si>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</si>
  <si>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</si>
  <si>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</si>
  <si>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</si>
  <si>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</si>
  <si>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Schritt E: Mietberechnung und Refinanzierung</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</si>
  <si>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</si>
  <si>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</si>
  <si>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</si>
  <si>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</si>
  <si>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</si>
  <si>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</si>
  <si>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</si>
  <si>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</si>
  <si>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</si>
  <si>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</si>
  <si>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</si>
  <si>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</si>
  <si>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</si>
  <si>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</si>
  <si>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</si>
  <si>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</si>
  <si>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</si>
  <si>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</si>
  <si>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</si>
  <si>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</si>
  <si>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</si>
  <si>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</si>
  <si>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</si>
  <si>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</si>
  <si>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</si>
  <si>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</si>
  <si>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</si>
  <si>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t>Summe Eingliederungshilfe gesamt</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</si>
  <si>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</si>
  <si>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</si>
  <si>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</si>
  <si>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</si>
  <si>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</si>
  <si>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</si>
  <si>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Zuschuss zu Ausstattung</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</si>
  <si>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</si>
  <si>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</si>
  <si>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</si>
  <si>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</si>
  <si>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</si>
  <si>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</si>
  <si>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</si>
  <si>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</si>
  <si>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</si>
  <si>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</si>
  <si>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</si>
  <si>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</si>
  <si>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</si>
  <si>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</si>
  <si>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</si>
  <si>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</si>
  <si>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</si>
  <si>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</si>
  <si>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</si>
  <si>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</si>
  <si>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</si>
  <si>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</si>
  <si>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</si>
  <si>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</si>
  <si>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</si>
  <si>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Gesamte Kosten der Unterkunft und Heizung</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</si>
  <si>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</si>
  <si>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</si>
  <si>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</si>
  <si>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</si>
  <si>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</si>
  <si>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</si>
  <si>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</si>
  <si>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</si>
  <si>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</si>
  <si>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</si>
  <si>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</si>
  <si>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</si>
  <si>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</si>
  <si>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</si>
  <si>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</si>
  <si>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</si>
  <si>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</si>
  <si>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</si>
  <si>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</si>
  <si>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</si>
  <si>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zentrale Infrastruktur:</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</si>
  <si>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</si>
  <si>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</si>
  <si>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</si>
  <si>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</si>
  <si>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</si>
  <si>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</si>
  <si>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</si>
  <si>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</si>
  <si>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</si>
  <si>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</si>
  <si>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</si>
  <si>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</si>
  <si>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</si>
  <si>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</si>
  <si>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</si>
  <si>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</si>
  <si>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</si>
  <si>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1. Ermittlung der Gesamtkosten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</si>
  <si>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</si>
  <si>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</si>
  <si>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</si>
  <si>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</si>
  <si>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</si>
  <si>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</si>
  <si>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</si>
  <si>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</si>
  <si>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</si>
  <si>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</si>
  <si>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</si>
  <si>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</si>
  <si>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</si>
  <si>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</si>
  <si>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</si>
  <si>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</si>
  <si>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</si>
  <si>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</si>
  <si>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</si>
  <si>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</si>
  <si>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</si>
  <si>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</si>
  <si>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</si>
  <si>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</si>
  <si>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</si>
  <si>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</si>
  <si>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</si>
  <si>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</si>
  <si>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</si>
  <si>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</si>
  <si>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</si>
  <si>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</si>
  <si>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</si>
  <si>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</si>
  <si>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</si>
  <si>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</si>
  <si>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</si>
  <si>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</si>
  <si>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</si>
  <si>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</si>
  <si>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</si>
  <si>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</si>
  <si>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</si>
  <si>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</si>
  <si>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</si>
  <si>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</si>
  <si>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</si>
  <si>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t>Bitte tragen Sie ein "x" in Feld D12 ein =&gt;</t>
  </si>
  <si>
    <t>Bitte tragen Sie ein "x" in Feld D14 ein =&gt;</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</si>
  <si>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</si>
  <si>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</si>
  <si>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</si>
  <si>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</si>
  <si>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</si>
  <si>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</si>
  <si>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</si>
  <si>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</si>
  <si>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</si>
  <si>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</si>
  <si>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Nebenkosten-Anteil Sonder-Infrastruktur</t>
  </si>
  <si>
    <r>
      <rPr>
        <b/>
        <sz val="14"/>
        <color theme="0"/>
        <rFont val="Calibri"/>
        <family val="2"/>
        <scheme val="minor"/>
      </rPr>
      <t>Basismiete für die privaten Wohnflächen</t>
    </r>
    <r>
      <rPr>
        <b/>
        <sz val="11"/>
        <color theme="0"/>
        <rFont val="Calibri"/>
        <family val="2"/>
        <scheme val="minor"/>
      </rPr>
      <t xml:space="preserve">
Übernahme bis zur Höhe der angemessenen Warmmiete eines Ein-Personen-Haushalts 
im Rahmen der Grundsicherung je nach Kommune:</t>
    </r>
    <r>
      <rPr>
        <b/>
        <sz val="11"/>
        <color theme="1"/>
        <rFont val="Calibri"/>
        <family val="2"/>
        <scheme val="minor"/>
      </rPr>
      <t xml:space="preserve">
</t>
    </r>
  </si>
  <si>
    <r>
      <rPr>
        <b/>
        <sz val="14"/>
        <color theme="0"/>
        <rFont val="Calibri"/>
        <family val="2"/>
        <scheme val="minor"/>
      </rPr>
      <t>Miet-Sonderaufschlag für die privaten Wohnflächen</t>
    </r>
    <r>
      <rPr>
        <sz val="11"/>
        <color theme="0"/>
        <rFont val="Calibri"/>
        <family val="2"/>
        <scheme val="minor"/>
      </rPr>
      <t xml:space="preserve">
Übernahme eines Aufschlag von bis zu 25 % bei Vermietung von gemeinschaftlichen Wohnformen „außerhalb von Wohnungen  
</t>
    </r>
    <r>
      <rPr>
        <sz val="8"/>
        <color theme="0"/>
        <rFont val="Calibri"/>
        <family val="2"/>
        <scheme val="minor"/>
      </rPr>
      <t>(ehem. Wohngruppe bzw. entspricht stationärem Setting)</t>
    </r>
    <r>
      <rPr>
        <sz val="11"/>
        <color theme="0"/>
        <rFont val="Calibri"/>
        <family val="2"/>
        <scheme val="minor"/>
      </rPr>
      <t xml:space="preserve">
</t>
    </r>
  </si>
  <si>
    <r>
      <rPr>
        <b/>
        <sz val="14"/>
        <color theme="0"/>
        <rFont val="Calibri"/>
        <family val="2"/>
        <scheme val="minor"/>
      </rPr>
      <t>Teilhabeaufschlag für die privaten Wohnflächen</t>
    </r>
    <r>
      <rPr>
        <sz val="11"/>
        <color theme="0"/>
        <rFont val="Calibri"/>
        <family val="2"/>
        <scheme val="minor"/>
      </rPr>
      <t xml:space="preserve">
Übernahme der oberhalb der 125 %-Grenze liegenden Aufwendungen für private Wohnflächen durch die Eingliederungshilfe 
(§ 42a Abs.6 SGB XII)
</t>
    </r>
  </si>
  <si>
    <r>
      <rPr>
        <b/>
        <sz val="14"/>
        <color theme="0"/>
        <rFont val="Calibri"/>
        <family val="2"/>
        <scheme val="minor"/>
      </rPr>
      <t xml:space="preserve">Investitionsbetrag für die Fachleistungsflächen  </t>
    </r>
    <r>
      <rPr>
        <sz val="11"/>
        <color theme="0"/>
        <rFont val="Calibri"/>
        <family val="2"/>
        <scheme val="minor"/>
      </rPr>
      <t xml:space="preserve">
für die zur Erbringung der Fachleistungen „erforderlichen betriebsnotwendigen Anlagen“</t>
    </r>
  </si>
  <si>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</si>
  <si>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</si>
  <si>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</si>
  <si>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</si>
  <si>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</si>
  <si>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</si>
  <si>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Regelfall: Ansatz von Kosten in Höhe von 6.000 € je Platz:</t>
  </si>
  <si>
    <t xml:space="preserve">Atypisch höhere Ausstattungskosten: </t>
  </si>
  <si>
    <t>Anlage: Atypische Ausstattungskosten</t>
  </si>
  <si>
    <r>
      <t xml:space="preserve">In diesem Reiter sind nur dann Eintragungen vorzunehmen, wenn es sich - abweichend vom Regelfall - um ein Angebot mit atypischen Ausstattungskosten handelt und Sie deshalb im Reiter "D Ausstatt." in Feld D8 ein "x" gesetzt haben!
</t>
    </r>
    <r>
      <rPr>
        <sz val="11"/>
        <rFont val="Calibri"/>
        <family val="2"/>
        <scheme val="minor"/>
      </rPr>
      <t>In atypischen Fällen, bei denen personenkreisabhängig (bspw. LIBW, TWG) teilhabebedingt ein höherer Ausstattungsumfang oder Ausstattungsstandard notwendig ist,  ist auf Nachweis und einer Begründung über die Notwendigkeit die Anerkennung höherer Ausstattungskosten möglich. Tragen Sie bitte in einem solchen Sonderfall hier in diesem Reiter die Ausstattungsgegenstände ein.</t>
    </r>
  </si>
  <si>
    <t>Summe laufende Ausstattungskosten</t>
  </si>
  <si>
    <t>Bitte tragen Sie ein "x" in Feld D8 ein =&gt;
und füllen Sie den Reiter "Anlage atypische Ausstattung" aus!</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</si>
  <si>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</si>
  <si>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</si>
  <si>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</si>
  <si>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</si>
  <si>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</si>
  <si>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</si>
  <si>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</si>
  <si>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r>
      <t xml:space="preserve">Ausstattungskosten:
</t>
    </r>
    <r>
      <rPr>
        <u/>
        <sz val="11"/>
        <rFont val="Calibri"/>
        <family val="2"/>
        <scheme val="minor"/>
      </rPr>
      <t>Regelfall:</t>
    </r>
    <r>
      <rPr>
        <sz val="11"/>
        <rFont val="Calibri"/>
        <family val="2"/>
        <scheme val="minor"/>
      </rPr>
      <t xml:space="preserve"> Ausstattungskosten bis zu einer Höhe von 6.000 € gelten grundsätzlich als angemessen.
Die Höhe dieser Pauschale soll zum 01.01.2025 überprüft und ggfs. an die Kostenentwicklung angepasst werden.
</t>
    </r>
    <r>
      <rPr>
        <u/>
        <sz val="11"/>
        <rFont val="Calibri"/>
        <family val="2"/>
        <scheme val="minor"/>
      </rPr>
      <t>Atypische Fälle:</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Bitte treffen Sie fogende Auswahl:</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</si>
  <si>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</si>
  <si>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</si>
  <si>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</si>
  <si>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Bitte tragen Sie ein "x" in Feld D18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</si>
  <si>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24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D18 ein "x" setzen.
Bei Gebäuden, die vor 2005 in Betrieb gingen, wird automatisch eine einheitliche Gebäude-Abschreibung von 2,45% hinterlegt.</t>
    </r>
  </si>
  <si>
    <r>
      <t xml:space="preserve">Gebäude Kaltmiete </t>
    </r>
    <r>
      <rPr>
        <sz val="11"/>
        <color theme="1"/>
        <rFont val="Calibri"/>
        <family val="2"/>
        <scheme val="minor"/>
      </rPr>
      <t>(inkl. Ausfallwagnis und Mietverwaltung)</t>
    </r>
  </si>
  <si>
    <t>Aufschlag Sonder-Infrastruktur</t>
  </si>
  <si>
    <t>Aufschlag für zentrale Verwaltungsflächen</t>
  </si>
  <si>
    <t>Höhe der durchschnittlichen angemessenen tatsächlichen Aufwendungen für die 
Warmmiete eines Einpersonenhaushalts in der jeweiligen Kommune (ggfs. ist prospektiv mit Blick auf die Veränderung dieser Sätze eine Anpassung vorzunehmen.)</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</si>
  <si>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</si>
  <si>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</si>
  <si>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</si>
  <si>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</si>
  <si>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</si>
  <si>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</si>
  <si>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</si>
  <si>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</si>
  <si>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</si>
  <si>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</si>
  <si>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</si>
  <si>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</si>
  <si>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</si>
  <si>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</si>
  <si>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</si>
  <si>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r>
      <t xml:space="preserve">Nur bei Berechnung mit Ist-Kosten: Liegen die Gebäudekosten abgegrenzt für den Heimbereich vor?
</t>
    </r>
    <r>
      <rPr>
        <sz val="11"/>
        <rFont val="Calibri"/>
        <family val="2"/>
        <scheme val="minor"/>
      </rPr>
      <t xml:space="preserve">Sofern die Gebäudekosten bereits getrennt für den Heimbereich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</si>
  <si>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r>
      <rPr>
        <b/>
        <sz val="11"/>
        <rFont val="Calibri"/>
        <family val="2"/>
        <scheme val="minor"/>
      </rPr>
      <t xml:space="preserve">Grundsätzlich erfolgt die Berechnung anhand der </t>
    </r>
    <r>
      <rPr>
        <b/>
        <u/>
        <sz val="11"/>
        <rFont val="Calibri"/>
        <family val="2"/>
        <scheme val="minor"/>
      </rPr>
      <t>tatsächlichen angemessenen Kosten</t>
    </r>
    <r>
      <rPr>
        <b/>
        <sz val="11"/>
        <rFont val="Calibri"/>
        <family val="2"/>
        <scheme val="minor"/>
      </rPr>
      <t xml:space="preserve">. </t>
    </r>
    <r>
      <rPr>
        <sz val="11"/>
        <rFont val="Calibri"/>
        <family val="2"/>
        <scheme val="minor"/>
      </rPr>
      <t xml:space="preserve">Sofern für Altgebäude die Anschaffungs- und Herstellungskosten nicht mehr nachgewiesen werden können, ist (hilfsweise) der zuletzt vereinbarte IK-Satz anzuwenden. Da der bisherige IK-Satz bereits einen Anteil für Ausstattung enthält, ist Reiter 
"D Ausstattung" in diesem Fall nicht mehr auszufüllen.
</t>
    </r>
    <r>
      <rPr>
        <b/>
        <sz val="11"/>
        <rFont val="Calibri"/>
        <family val="2"/>
        <scheme val="minor"/>
      </rPr>
      <t>Bitte treffen Sie fogende Auswahl:</t>
    </r>
  </si>
  <si>
    <t>Vor Ausfüllen des KdU-Tools wird die Lektüre der Ausfüllhilfe empfohlen!</t>
  </si>
  <si>
    <t>laufender jährl. Auswand für Miete/Pacht/Leasing für Gebäude und Grundstücke</t>
  </si>
  <si>
    <t xml:space="preserve">Verwaltungskosten </t>
  </si>
  <si>
    <r>
      <rPr>
        <b/>
        <sz val="11"/>
        <color theme="1"/>
        <rFont val="Calibri"/>
        <family val="2"/>
        <scheme val="minor"/>
      </rPr>
      <t>Mietverwaltung</t>
    </r>
    <r>
      <rPr>
        <sz val="11"/>
        <color theme="1"/>
        <rFont val="Calibri"/>
        <family val="2"/>
        <scheme val="minor"/>
      </rPr>
      <t xml:space="preserve"> </t>
    </r>
  </si>
  <si>
    <t>Indexierung Nebenkosten aus letzter Verhandlung</t>
  </si>
  <si>
    <t>Bitte tragen Sie ein "x" in Feld C11 ein =&gt;</t>
  </si>
  <si>
    <t>Bitte tragen Sie ein "x" in Feld C13 ein =&gt;</t>
  </si>
  <si>
    <t>Neuverhandlung der Nebenkosten</t>
  </si>
  <si>
    <t>Jahr, für das verhandelt wird</t>
  </si>
  <si>
    <t>Anlage: Inflationsraten</t>
  </si>
  <si>
    <t>Inflationsmatrix für Nebenkosten-Indexierung</t>
  </si>
  <si>
    <t>Gesamt-Indexierung</t>
  </si>
  <si>
    <t>Inflationsrate für Gesamt-Zeitraum</t>
  </si>
  <si>
    <t>letzte 
Verhandlung</t>
  </si>
  <si>
    <t>Indexierung
Verwaltungs-
kosten</t>
  </si>
  <si>
    <t>Kombiwert</t>
  </si>
  <si>
    <t>KombiWert:</t>
  </si>
  <si>
    <t>Inflations-Index:</t>
  </si>
  <si>
    <t>Aufwand p.a.</t>
  </si>
  <si>
    <t>beantragte
Werte</t>
  </si>
  <si>
    <t>Die Felder C18 und C19 sind nur auszufüllen, wenn auf Basis der letzten Verhandlung indexiert werden soll.</t>
  </si>
  <si>
    <t>Bitte tragen Sie für eine korrekte Indexierung die 
Inflationsraten in den Reiter "Anlage Inflationsraten" ein.</t>
  </si>
  <si>
    <t>Inflationsrate des 
stat. Bundesamts
(ggfs. Schätzung für aktuelles und zu verhandelndes Jahr)</t>
  </si>
  <si>
    <t>Geltungsjahr letzte Verhandlung</t>
  </si>
  <si>
    <t>Jahr, für das indexiert wird:</t>
  </si>
  <si>
    <t>Bitte setzen Sie hier ein "x", wenn die Nebenkosten erstmals oder vollständig neu verhandelt werden sollen und tragen Sie Ihre beantragten Nebenkosten unten in Spalte C ein.</t>
  </si>
  <si>
    <t>Die Indexierung der Nebenkosten erfolgt anhand der hier hinterlegten Inflationsraten</t>
  </si>
  <si>
    <t>automatisch, wenn Sie im Reiter C_1 Nebenkosten die Option "Indexierung der</t>
  </si>
  <si>
    <t xml:space="preserve">Nebenkosten" gewählt haben (Feld C13) und dort  in den Feldern C18 und C19 </t>
  </si>
  <si>
    <t>entsprechende Jahreszahlen hinterlegt haben.</t>
  </si>
  <si>
    <t>Version 1.8</t>
  </si>
  <si>
    <t>Bitte setzen Sie hier ein "x", wenn die Nebenkosten erstmals oder vollständig neu verhandelt werden sollen und tragen Sie Ihre beantragten Nebenkosten unten in Spalte B ein.</t>
  </si>
  <si>
    <t>Bitte setzen Sie hier ein "x", wenn die zuletzt verhandelten 
Nebenkosten auf Basis der Inflationsrate fortgeschrieben werden. Tragen Sie das letzte Verhandlungsergebnis unten in Spalte B ein und befüllen Sie die Felder C18 und C19.</t>
  </si>
  <si>
    <t>Bitte setzen Sie hier ein "x", wenn die zuletzt verhandelten Nebenkosten auf Basis der Inflationsrate fortgeschrieben werden. Tragen Sie das letzte Verhandlungsergebnis unten in Spalte C ein und befüllen Sie die Felder C13 und C14.</t>
  </si>
  <si>
    <t>Betrieb und Wartung der Wasserversorg.</t>
  </si>
  <si>
    <t>Betrieb / Wartung der Wärmeversorg.</t>
  </si>
  <si>
    <t>Telekomm., Rundfunk, Ferns., Internet</t>
  </si>
  <si>
    <t>pro Belegungstag:</t>
  </si>
  <si>
    <t>Kategorie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</si>
</sst>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_-* #,##0.00\ [$€-1]_-;\-* #,##0.00\ [$€-1]_-;_-* &quot;-&quot;??\ [$€-1]_-"/>
    <numFmt numFmtId="169" formatCode="#,##0.00\ &quot;€&quot;"/>
    <numFmt numFmtId="170" formatCode="#,##0\ &quot;€&quot;"/>
    <numFmt numFmtId="171" formatCode="0.0000%"/>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8"/>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
      <sz val="9"/>
      <color indexed="81"/>
      <name val="Segoe UI"/>
      <family val="2"/>
    </font>
    <font>
      <b/>
      <sz val="9"/>
      <color indexed="81"/>
      <name val="Segoe UI"/>
      <family val="2"/>
    </font>
    <font>
      <b/>
      <u/>
      <sz val="9"/>
      <color indexed="81"/>
      <name val="Segoe UI"/>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
      <patternFill patternType="solid">
        <fgColor theme="4" tint="-0.499984740745262"/>
        <bgColor indexed="64"/>
      </patternFill>
    </fill>
    <fill>
      <patternFill patternType="solid">
        <fgColor theme="4" tint="-0.249977111117893"/>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cellStyleXfs>
  <cellXfs count="1185">
    <xf numFmtId="0" fontId="0" fillId="0" borderId="0" xfId="0"/>
    <xf numFmtId="0" fontId="7" fillId="4" borderId="4" xfId="0" applyFont="1" applyFill="1" applyBorder="1" applyProtection="1"/>
    <xf numFmtId="0" fontId="44" fillId="4" borderId="0" xfId="0" applyFont="1" applyFill="1" applyBorder="1" applyProtection="1"/>
    <xf numFmtId="0" fontId="7" fillId="4" borderId="0" xfId="0" applyFont="1" applyFill="1" applyBorder="1" applyProtection="1"/>
    <xf numFmtId="0" fontId="13" fillId="4" borderId="39" xfId="0" applyFont="1" applyFill="1" applyBorder="1" applyAlignment="1" applyProtection="1">
      <alignment horizontal="left"/>
    </xf>
    <xf numFmtId="0" fontId="13" fillId="4" borderId="27" xfId="0" applyFont="1" applyFill="1" applyBorder="1" applyProtection="1"/>
    <xf numFmtId="0" fontId="13" fillId="0" borderId="32"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75"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78" xfId="0" applyNumberFormat="1" applyFont="1" applyFill="1" applyBorder="1" applyProtection="1"/>
    <xf numFmtId="0" fontId="14" fillId="4" borderId="7" xfId="0" applyFont="1" applyFill="1" applyBorder="1" applyProtection="1"/>
    <xf numFmtId="0" fontId="13" fillId="4" borderId="14" xfId="0" applyFont="1" applyFill="1" applyBorder="1" applyProtection="1"/>
    <xf numFmtId="0" fontId="13" fillId="4" borderId="15" xfId="0" applyFont="1" applyFill="1" applyBorder="1" applyProtection="1"/>
    <xf numFmtId="0" fontId="14" fillId="4" borderId="2" xfId="0" applyFont="1" applyFill="1" applyBorder="1" applyAlignment="1" applyProtection="1">
      <alignment horizontal="center" wrapText="1"/>
    </xf>
    <xf numFmtId="0" fontId="14" fillId="4" borderId="16" xfId="0" applyFont="1" applyFill="1" applyBorder="1" applyAlignment="1" applyProtection="1">
      <alignment horizontal="center" wrapText="1"/>
    </xf>
    <xf numFmtId="0" fontId="13" fillId="4" borderId="2" xfId="0" applyFont="1" applyFill="1" applyBorder="1" applyAlignment="1" applyProtection="1">
      <alignment horizontal="center" wrapText="1"/>
    </xf>
    <xf numFmtId="1" fontId="13" fillId="4" borderId="16" xfId="0" applyNumberFormat="1" applyFont="1" applyFill="1" applyBorder="1" applyAlignment="1" applyProtection="1">
      <alignment horizontal="center" wrapText="1"/>
    </xf>
    <xf numFmtId="0" fontId="13" fillId="2" borderId="2" xfId="0" applyFont="1" applyFill="1" applyBorder="1" applyProtection="1"/>
    <xf numFmtId="0" fontId="13" fillId="2" borderId="16" xfId="0" applyFont="1" applyFill="1" applyBorder="1" applyProtection="1"/>
    <xf numFmtId="44" fontId="13" fillId="2" borderId="2" xfId="0" applyNumberFormat="1" applyFont="1" applyFill="1" applyBorder="1" applyAlignment="1" applyProtection="1">
      <alignment horizontal="right"/>
    </xf>
    <xf numFmtId="0" fontId="13" fillId="2" borderId="18" xfId="0" applyFont="1" applyFill="1" applyBorder="1" applyProtection="1"/>
    <xf numFmtId="44" fontId="13" fillId="2" borderId="13" xfId="0" applyNumberFormat="1" applyFont="1" applyFill="1" applyBorder="1" applyAlignment="1" applyProtection="1">
      <alignment horizontal="right"/>
    </xf>
    <xf numFmtId="0" fontId="13" fillId="2" borderId="12" xfId="0" applyFont="1" applyFill="1" applyBorder="1" applyProtection="1"/>
    <xf numFmtId="0" fontId="13" fillId="2" borderId="51" xfId="0" applyFont="1" applyFill="1" applyBorder="1" applyProtection="1"/>
    <xf numFmtId="44" fontId="13" fillId="2" borderId="12" xfId="0" applyNumberFormat="1" applyFont="1" applyFill="1" applyBorder="1" applyAlignment="1" applyProtection="1">
      <alignment horizontal="right"/>
    </xf>
    <xf numFmtId="0" fontId="13" fillId="4" borderId="7" xfId="0" applyFont="1" applyFill="1" applyBorder="1" applyProtection="1"/>
    <xf numFmtId="0" fontId="13" fillId="4" borderId="1" xfId="0" applyFont="1" applyFill="1" applyBorder="1" applyProtection="1"/>
    <xf numFmtId="44" fontId="13"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3" fillId="2" borderId="82" xfId="0" applyFont="1" applyFill="1" applyBorder="1" applyProtection="1"/>
    <xf numFmtId="0" fontId="13" fillId="2" borderId="79" xfId="0" applyFont="1" applyFill="1" applyBorder="1" applyProtection="1"/>
    <xf numFmtId="0" fontId="7" fillId="2" borderId="80" xfId="0" applyFont="1" applyFill="1" applyBorder="1" applyProtection="1"/>
    <xf numFmtId="0" fontId="7" fillId="4" borderId="0" xfId="0" applyFont="1" applyFill="1" applyBorder="1" applyAlignment="1" applyProtection="1">
      <alignment horizontal="left"/>
    </xf>
    <xf numFmtId="0" fontId="7" fillId="2" borderId="1" xfId="0" applyFont="1" applyFill="1" applyBorder="1" applyProtection="1"/>
    <xf numFmtId="0" fontId="13" fillId="2" borderId="6" xfId="0" applyFont="1" applyFill="1" applyBorder="1" applyProtection="1"/>
    <xf numFmtId="0" fontId="13" fillId="2" borderId="83" xfId="0" applyFont="1" applyFill="1" applyBorder="1" applyProtection="1"/>
    <xf numFmtId="0" fontId="13" fillId="2" borderId="80" xfId="0" applyFont="1" applyFill="1" applyBorder="1" applyProtection="1"/>
    <xf numFmtId="0" fontId="13" fillId="4" borderId="26" xfId="0" applyFont="1" applyFill="1" applyBorder="1" applyProtection="1"/>
    <xf numFmtId="0" fontId="7" fillId="4" borderId="40" xfId="0" applyFont="1" applyFill="1" applyBorder="1" applyProtection="1"/>
    <xf numFmtId="44" fontId="13" fillId="4" borderId="28" xfId="0" applyNumberFormat="1" applyFont="1" applyFill="1" applyBorder="1" applyProtection="1"/>
    <xf numFmtId="44" fontId="13" fillId="4" borderId="25" xfId="0" applyNumberFormat="1" applyFont="1" applyFill="1" applyBorder="1" applyProtection="1"/>
    <xf numFmtId="44" fontId="13" fillId="4" borderId="81" xfId="0" applyNumberFormat="1" applyFont="1" applyFill="1" applyBorder="1" applyProtection="1"/>
    <xf numFmtId="0" fontId="13" fillId="4" borderId="6" xfId="0" applyFont="1" applyFill="1" applyBorder="1" applyProtection="1"/>
    <xf numFmtId="0" fontId="13" fillId="4" borderId="0" xfId="0" applyFont="1" applyFill="1" applyBorder="1" applyProtection="1"/>
    <xf numFmtId="0" fontId="7" fillId="4" borderId="0" xfId="0" applyFont="1" applyFill="1" applyBorder="1" applyAlignment="1" applyProtection="1">
      <alignment wrapText="1"/>
    </xf>
    <xf numFmtId="44" fontId="14" fillId="2" borderId="2" xfId="0" applyNumberFormat="1" applyFont="1" applyFill="1" applyBorder="1" applyProtection="1"/>
    <xf numFmtId="44" fontId="14" fillId="2" borderId="12" xfId="0" applyNumberFormat="1" applyFont="1" applyFill="1" applyBorder="1" applyProtection="1"/>
    <xf numFmtId="0" fontId="14" fillId="4" borderId="20" xfId="0" applyFont="1" applyFill="1" applyBorder="1" applyProtection="1"/>
    <xf numFmtId="0" fontId="14" fillId="4" borderId="10" xfId="0" applyFont="1" applyFill="1" applyBorder="1" applyProtection="1"/>
    <xf numFmtId="44" fontId="14" fillId="4" borderId="52"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77" xfId="0" applyNumberFormat="1" applyFont="1" applyFill="1" applyBorder="1" applyProtection="1"/>
    <xf numFmtId="44" fontId="13" fillId="7" borderId="12" xfId="0" applyNumberFormat="1" applyFont="1" applyFill="1" applyBorder="1" applyProtection="1"/>
    <xf numFmtId="0" fontId="14" fillId="4" borderId="2" xfId="0" applyFont="1" applyFill="1" applyBorder="1" applyAlignment="1" applyProtection="1">
      <alignment horizontal="left"/>
    </xf>
    <xf numFmtId="0" fontId="0" fillId="0" borderId="0" xfId="0" applyProtection="1">
      <protection locked="0"/>
    </xf>
    <xf numFmtId="0" fontId="33"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4"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40" fillId="0" borderId="0" xfId="3" applyFont="1" applyFill="1" applyProtection="1">
      <protection locked="0"/>
    </xf>
    <xf numFmtId="0" fontId="22" fillId="0" borderId="0" xfId="0" applyFont="1" applyAlignment="1" applyProtection="1">
      <alignment horizontal="right"/>
      <protection locked="0"/>
    </xf>
    <xf numFmtId="0" fontId="22" fillId="0" borderId="0" xfId="0" applyFont="1" applyProtection="1">
      <protection locked="0"/>
    </xf>
    <xf numFmtId="0" fontId="7" fillId="0" borderId="0" xfId="0" applyFont="1" applyBorder="1" applyProtection="1">
      <protection locked="0"/>
    </xf>
    <xf numFmtId="44" fontId="22"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22" fillId="0" borderId="0" xfId="0" applyFont="1" applyFill="1" applyAlignment="1" applyProtection="1">
      <alignment horizontal="right"/>
      <protection locked="0"/>
    </xf>
    <xf numFmtId="0" fontId="22" fillId="0" borderId="0" xfId="0" applyFont="1" applyFill="1" applyProtection="1">
      <protection locked="0"/>
    </xf>
    <xf numFmtId="0" fontId="14" fillId="4" borderId="7" xfId="0" applyFont="1" applyFill="1" applyBorder="1" applyProtection="1">
      <protection locked="0"/>
    </xf>
    <xf numFmtId="0" fontId="7" fillId="4" borderId="1" xfId="0" applyFont="1" applyFill="1" applyBorder="1" applyProtection="1">
      <protection locked="0"/>
    </xf>
    <xf numFmtId="0" fontId="13" fillId="0" borderId="2" xfId="0" applyFont="1" applyBorder="1" applyProtection="1"/>
    <xf numFmtId="0" fontId="12" fillId="4" borderId="2" xfId="0" applyFont="1" applyFill="1" applyBorder="1" applyAlignment="1" applyProtection="1">
      <alignment horizontal="center"/>
    </xf>
    <xf numFmtId="0" fontId="13"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3" fillId="4" borderId="16" xfId="0" applyFont="1" applyFill="1" applyBorder="1" applyAlignment="1" applyProtection="1">
      <alignment horizontal="center"/>
    </xf>
    <xf numFmtId="0" fontId="17"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3" fillId="2"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xf>
    <xf numFmtId="44" fontId="12" fillId="4" borderId="2" xfId="0" applyNumberFormat="1" applyFont="1" applyFill="1" applyBorder="1" applyAlignment="1" applyProtection="1">
      <alignment horizontal="right"/>
    </xf>
    <xf numFmtId="44" fontId="13"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4" fillId="4" borderId="69" xfId="0" applyNumberFormat="1" applyFont="1" applyFill="1" applyBorder="1" applyProtection="1"/>
    <xf numFmtId="2" fontId="22" fillId="0" borderId="0" xfId="0" applyNumberFormat="1" applyFont="1" applyAlignment="1" applyProtection="1">
      <alignment horizontal="right"/>
    </xf>
    <xf numFmtId="0" fontId="22" fillId="0" borderId="0" xfId="0" applyFont="1" applyProtection="1"/>
    <xf numFmtId="0" fontId="22"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0" borderId="0" xfId="0" applyFont="1" applyBorder="1" applyProtection="1">
      <protection locked="0"/>
    </xf>
    <xf numFmtId="0" fontId="0" fillId="4" borderId="15" xfId="0" applyFont="1" applyFill="1" applyBorder="1" applyProtection="1">
      <protection locked="0"/>
    </xf>
    <xf numFmtId="0" fontId="25" fillId="4" borderId="39" xfId="0" applyFont="1" applyFill="1" applyBorder="1" applyProtection="1">
      <protection locked="0"/>
    </xf>
    <xf numFmtId="0" fontId="3" fillId="4" borderId="27" xfId="0" applyFont="1" applyFill="1" applyBorder="1" applyProtection="1">
      <protection locked="0"/>
    </xf>
    <xf numFmtId="0" fontId="3" fillId="0" borderId="32" xfId="0" applyFont="1" applyBorder="1" applyProtection="1">
      <protection locked="0"/>
    </xf>
    <xf numFmtId="0" fontId="3" fillId="0" borderId="0" xfId="0" applyFont="1" applyProtection="1">
      <protection locked="0"/>
    </xf>
    <xf numFmtId="0" fontId="25" fillId="4" borderId="20" xfId="0" applyFont="1" applyFill="1" applyBorder="1" applyProtection="1">
      <protection locked="0"/>
    </xf>
    <xf numFmtId="0" fontId="3" fillId="4" borderId="10" xfId="0" applyFont="1" applyFill="1" applyBorder="1" applyProtection="1">
      <protection locked="0"/>
    </xf>
    <xf numFmtId="0" fontId="9" fillId="0" borderId="40"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6" fillId="3" borderId="24" xfId="0" applyNumberFormat="1" applyFont="1" applyFill="1" applyBorder="1" applyProtection="1">
      <protection locked="0"/>
    </xf>
    <xf numFmtId="0" fontId="0" fillId="3" borderId="24" xfId="0" applyNumberFormat="1" applyFont="1" applyFill="1" applyBorder="1" applyProtection="1">
      <protection locked="0"/>
    </xf>
    <xf numFmtId="2" fontId="22" fillId="0" borderId="0" xfId="0" applyNumberFormat="1" applyFont="1" applyAlignment="1" applyProtection="1">
      <alignment horizontal="left"/>
      <protection locked="0"/>
    </xf>
    <xf numFmtId="0" fontId="26"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40" xfId="0" applyFont="1" applyFill="1" applyBorder="1" applyProtection="1">
      <protection locked="0"/>
    </xf>
    <xf numFmtId="0" fontId="26"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4"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9" fillId="0" borderId="0" xfId="0" applyFont="1" applyAlignment="1" applyProtection="1">
      <alignment horizontal="right"/>
      <protection locked="0"/>
    </xf>
    <xf numFmtId="0" fontId="21"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40"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21" fillId="3" borderId="2" xfId="0" applyNumberFormat="1" applyFont="1" applyFill="1" applyBorder="1" applyProtection="1">
      <protection locked="0"/>
    </xf>
    <xf numFmtId="2" fontId="28"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5" fillId="0" borderId="0" xfId="0" applyFont="1" applyProtection="1">
      <protection locked="0"/>
    </xf>
    <xf numFmtId="44" fontId="35" fillId="0" borderId="0" xfId="0" applyNumberFormat="1" applyFont="1" applyProtection="1">
      <protection locked="0"/>
    </xf>
    <xf numFmtId="9" fontId="3" fillId="2" borderId="19" xfId="0" applyNumberFormat="1" applyFont="1" applyFill="1" applyBorder="1" applyAlignment="1" applyProtection="1">
      <alignment horizontal="center"/>
    </xf>
    <xf numFmtId="9" fontId="15"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5" fillId="2" borderId="25" xfId="0" applyNumberFormat="1" applyFont="1" applyFill="1" applyBorder="1" applyProtection="1"/>
    <xf numFmtId="2" fontId="22" fillId="0" borderId="0" xfId="0" applyNumberFormat="1" applyFont="1" applyAlignment="1" applyProtection="1">
      <alignment horizontal="left"/>
    </xf>
    <xf numFmtId="9" fontId="15"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4" fillId="2" borderId="19" xfId="0" applyNumberFormat="1" applyFont="1" applyFill="1" applyBorder="1" applyProtection="1"/>
    <xf numFmtId="10" fontId="14" fillId="2" borderId="30" xfId="0" applyNumberFormat="1" applyFont="1" applyFill="1" applyBorder="1" applyProtection="1"/>
    <xf numFmtId="2" fontId="14" fillId="2" borderId="25" xfId="0" applyNumberFormat="1" applyFont="1" applyFill="1" applyBorder="1" applyProtection="1"/>
    <xf numFmtId="10" fontId="15" fillId="2" borderId="30" xfId="0" applyNumberFormat="1" applyFont="1" applyFill="1" applyBorder="1" applyProtection="1"/>
    <xf numFmtId="2" fontId="14"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4"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3" fillId="2" borderId="5" xfId="0" applyNumberFormat="1" applyFont="1" applyFill="1" applyBorder="1" applyProtection="1"/>
    <xf numFmtId="2" fontId="14" fillId="2" borderId="8" xfId="0" applyNumberFormat="1" applyFont="1" applyFill="1" applyBorder="1" applyProtection="1"/>
    <xf numFmtId="2" fontId="14" fillId="2" borderId="5" xfId="0" applyNumberFormat="1" applyFont="1" applyFill="1" applyBorder="1" applyProtection="1"/>
    <xf numFmtId="10" fontId="7" fillId="2" borderId="5" xfId="0" applyNumberFormat="1" applyFont="1" applyFill="1" applyBorder="1" applyProtection="1"/>
    <xf numFmtId="2" fontId="13" fillId="2" borderId="75" xfId="0" applyNumberFormat="1" applyFont="1" applyFill="1" applyBorder="1" applyProtection="1"/>
    <xf numFmtId="10" fontId="44" fillId="9" borderId="23" xfId="2" applyNumberFormat="1" applyFont="1" applyFill="1" applyBorder="1" applyProtection="1"/>
    <xf numFmtId="2" fontId="35" fillId="4" borderId="0" xfId="0" applyNumberFormat="1" applyFont="1" applyFill="1" applyBorder="1" applyAlignment="1" applyProtection="1">
      <alignment horizontal="right"/>
    </xf>
    <xf numFmtId="10" fontId="37" fillId="4" borderId="2" xfId="2" applyNumberFormat="1" applyFont="1" applyFill="1" applyBorder="1" applyAlignment="1" applyProtection="1">
      <alignment horizontal="right"/>
    </xf>
    <xf numFmtId="2" fontId="35" fillId="4" borderId="1" xfId="0" applyNumberFormat="1" applyFont="1" applyFill="1" applyBorder="1" applyAlignment="1" applyProtection="1">
      <alignment horizontal="right"/>
    </xf>
    <xf numFmtId="10" fontId="35" fillId="4" borderId="1" xfId="2" applyNumberFormat="1" applyFont="1" applyFill="1" applyBorder="1" applyAlignment="1" applyProtection="1">
      <alignment horizontal="right"/>
    </xf>
    <xf numFmtId="10" fontId="35" fillId="4" borderId="4" xfId="0" applyNumberFormat="1" applyFont="1" applyFill="1" applyBorder="1" applyAlignment="1" applyProtection="1">
      <alignment horizontal="right"/>
    </xf>
    <xf numFmtId="10" fontId="35" fillId="4" borderId="0" xfId="2" applyNumberFormat="1" applyFont="1" applyFill="1" applyBorder="1" applyAlignment="1" applyProtection="1">
      <alignment horizontal="right"/>
    </xf>
    <xf numFmtId="0" fontId="35" fillId="4" borderId="0" xfId="0" applyFont="1" applyFill="1" applyBorder="1" applyAlignment="1" applyProtection="1">
      <alignment horizontal="left"/>
    </xf>
    <xf numFmtId="2" fontId="50" fillId="0" borderId="0" xfId="0" applyNumberFormat="1" applyFont="1" applyAlignment="1" applyProtection="1">
      <alignment horizontal="left"/>
    </xf>
    <xf numFmtId="0" fontId="23" fillId="4" borderId="0" xfId="0" applyFont="1" applyFill="1" applyBorder="1" applyProtection="1">
      <protection locked="0"/>
    </xf>
    <xf numFmtId="0" fontId="3" fillId="0" borderId="0" xfId="0" applyFont="1" applyAlignment="1" applyProtection="1">
      <alignment horizontal="right"/>
      <protection locked="0"/>
    </xf>
    <xf numFmtId="0" fontId="25" fillId="4" borderId="6" xfId="0" applyFont="1" applyFill="1" applyBorder="1" applyProtection="1">
      <protection locked="0"/>
    </xf>
    <xf numFmtId="0" fontId="0" fillId="4" borderId="11" xfId="0" applyFont="1" applyFill="1" applyBorder="1" applyProtection="1">
      <protection locked="0"/>
    </xf>
    <xf numFmtId="0" fontId="18" fillId="2" borderId="14" xfId="0" applyFont="1" applyFill="1" applyBorder="1" applyProtection="1">
      <protection locked="0"/>
    </xf>
    <xf numFmtId="0" fontId="0" fillId="2" borderId="15" xfId="0" applyFont="1" applyFill="1" applyBorder="1" applyProtection="1">
      <protection locked="0"/>
    </xf>
    <xf numFmtId="0" fontId="23" fillId="2" borderId="15" xfId="0" applyFont="1" applyFill="1" applyBorder="1" applyProtection="1">
      <protection locked="0"/>
    </xf>
    <xf numFmtId="0" fontId="23" fillId="2" borderId="16" xfId="0" applyFont="1" applyFill="1" applyBorder="1" applyProtection="1">
      <protection locked="0"/>
    </xf>
    <xf numFmtId="0" fontId="4" fillId="0" borderId="0" xfId="0" applyFont="1" applyAlignment="1" applyProtection="1">
      <alignment horizontal="right"/>
      <protection locked="0"/>
    </xf>
    <xf numFmtId="0" fontId="21" fillId="4" borderId="0" xfId="0" applyFont="1" applyFill="1" applyBorder="1" applyProtection="1">
      <protection locked="0"/>
    </xf>
    <xf numFmtId="0" fontId="24" fillId="4" borderId="0" xfId="0" applyFont="1" applyFill="1" applyBorder="1" applyProtection="1">
      <protection locked="0"/>
    </xf>
    <xf numFmtId="165" fontId="14" fillId="2" borderId="2" xfId="0" applyNumberFormat="1" applyFont="1" applyFill="1" applyBorder="1" applyProtection="1">
      <protection locked="0"/>
    </xf>
    <xf numFmtId="44" fontId="0" fillId="3" borderId="2" xfId="1" applyFont="1" applyFill="1" applyBorder="1" applyProtection="1">
      <protection locked="0"/>
    </xf>
    <xf numFmtId="0" fontId="22" fillId="4" borderId="11" xfId="0" applyFont="1" applyFill="1" applyBorder="1" applyProtection="1">
      <protection locked="0"/>
    </xf>
    <xf numFmtId="165" fontId="22" fillId="0" borderId="0" xfId="0" applyNumberFormat="1" applyFont="1" applyProtection="1">
      <protection locked="0"/>
    </xf>
    <xf numFmtId="44" fontId="22" fillId="0" borderId="0" xfId="1" applyFont="1" applyAlignment="1" applyProtection="1">
      <alignment horizontal="left"/>
      <protection locked="0"/>
    </xf>
    <xf numFmtId="0" fontId="21" fillId="4" borderId="6" xfId="0" applyFont="1" applyFill="1" applyBorder="1" applyAlignment="1" applyProtection="1">
      <alignment horizontal="left"/>
      <protection locked="0"/>
    </xf>
    <xf numFmtId="44" fontId="24"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21" fillId="4" borderId="7" xfId="0" applyFont="1" applyFill="1" applyBorder="1" applyAlignment="1" applyProtection="1">
      <alignment horizontal="left"/>
      <protection locked="0"/>
    </xf>
    <xf numFmtId="0" fontId="21" fillId="4" borderId="1" xfId="0" applyFont="1" applyFill="1" applyBorder="1" applyProtection="1">
      <protection locked="0"/>
    </xf>
    <xf numFmtId="0" fontId="24" fillId="4" borderId="1" xfId="0" applyFont="1" applyFill="1" applyBorder="1" applyProtection="1">
      <protection locked="0"/>
    </xf>
    <xf numFmtId="44" fontId="24" fillId="4" borderId="8" xfId="1" applyFont="1" applyFill="1" applyBorder="1" applyProtection="1">
      <protection locked="0"/>
    </xf>
    <xf numFmtId="44" fontId="22" fillId="4" borderId="11" xfId="1" applyFont="1" applyFill="1" applyBorder="1" applyAlignment="1" applyProtection="1">
      <alignment horizontal="left"/>
      <protection locked="0"/>
    </xf>
    <xf numFmtId="165" fontId="22" fillId="4" borderId="11" xfId="0" applyNumberFormat="1" applyFont="1" applyFill="1" applyBorder="1" applyProtection="1">
      <protection locked="0"/>
    </xf>
    <xf numFmtId="44" fontId="22" fillId="0" borderId="0" xfId="0" applyNumberFormat="1" applyFont="1" applyProtection="1">
      <protection locked="0"/>
    </xf>
    <xf numFmtId="0" fontId="0" fillId="0" borderId="6" xfId="0" applyFont="1" applyBorder="1" applyAlignment="1" applyProtection="1">
      <alignment horizontal="left"/>
      <protection locked="0"/>
    </xf>
    <xf numFmtId="0" fontId="23" fillId="0" borderId="0" xfId="0" applyFont="1" applyBorder="1" applyProtection="1">
      <protection locked="0"/>
    </xf>
    <xf numFmtId="44" fontId="23" fillId="0" borderId="11" xfId="1" applyFont="1" applyBorder="1" applyProtection="1">
      <protection locked="0"/>
    </xf>
    <xf numFmtId="0" fontId="29" fillId="4" borderId="11" xfId="0" applyFont="1" applyFill="1" applyBorder="1" applyProtection="1">
      <protection locked="0"/>
    </xf>
    <xf numFmtId="0" fontId="29" fillId="0" borderId="0" xfId="0" applyFont="1" applyProtection="1">
      <protection locked="0"/>
    </xf>
    <xf numFmtId="165" fontId="29" fillId="4" borderId="11" xfId="0" applyNumberFormat="1" applyFont="1" applyFill="1" applyBorder="1" applyProtection="1">
      <protection locked="0"/>
    </xf>
    <xf numFmtId="44" fontId="23" fillId="4" borderId="11" xfId="1" applyFont="1" applyFill="1" applyBorder="1" applyProtection="1">
      <protection locked="0"/>
    </xf>
    <xf numFmtId="44" fontId="23" fillId="4" borderId="0" xfId="1" applyFont="1" applyFill="1" applyBorder="1" applyProtection="1">
      <protection locked="0"/>
    </xf>
    <xf numFmtId="0" fontId="17" fillId="3" borderId="14" xfId="0" applyFont="1" applyFill="1" applyBorder="1" applyProtection="1">
      <protection locked="0"/>
    </xf>
    <xf numFmtId="0" fontId="17" fillId="4" borderId="15" xfId="0" applyFont="1" applyFill="1" applyBorder="1" applyProtection="1">
      <protection locked="0"/>
    </xf>
    <xf numFmtId="10" fontId="23" fillId="4" borderId="15" xfId="0" applyNumberFormat="1" applyFont="1" applyFill="1" applyBorder="1" applyProtection="1">
      <protection locked="0"/>
    </xf>
    <xf numFmtId="44" fontId="23" fillId="3" borderId="2" xfId="1" applyFont="1" applyFill="1" applyBorder="1" applyProtection="1">
      <protection locked="0"/>
    </xf>
    <xf numFmtId="0" fontId="23" fillId="4" borderId="15" xfId="0" applyFont="1" applyFill="1" applyBorder="1" applyProtection="1">
      <protection locked="0"/>
    </xf>
    <xf numFmtId="165" fontId="24" fillId="2" borderId="16" xfId="0" applyNumberFormat="1" applyFont="1" applyFill="1" applyBorder="1" applyProtection="1">
      <protection locked="0"/>
    </xf>
    <xf numFmtId="0" fontId="14" fillId="4" borderId="6" xfId="0" applyFont="1" applyFill="1" applyBorder="1" applyProtection="1">
      <protection locked="0"/>
    </xf>
    <xf numFmtId="0" fontId="17" fillId="4" borderId="0" xfId="0" applyFont="1" applyFill="1" applyBorder="1" applyProtection="1">
      <protection locked="0"/>
    </xf>
    <xf numFmtId="0" fontId="24" fillId="4" borderId="11" xfId="0" applyFont="1" applyFill="1" applyBorder="1" applyAlignment="1" applyProtection="1">
      <alignment horizontal="center"/>
      <protection locked="0"/>
    </xf>
    <xf numFmtId="0" fontId="20"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3" fillId="4" borderId="6" xfId="0" applyNumberFormat="1" applyFont="1" applyFill="1" applyBorder="1" applyProtection="1">
      <protection locked="0"/>
    </xf>
    <xf numFmtId="165" fontId="23" fillId="4" borderId="11" xfId="0" applyNumberFormat="1" applyFont="1" applyFill="1" applyBorder="1" applyProtection="1">
      <protection locked="0"/>
    </xf>
    <xf numFmtId="44" fontId="0" fillId="4" borderId="11" xfId="0" applyNumberFormat="1" applyFont="1" applyFill="1" applyBorder="1" applyProtection="1">
      <protection locked="0"/>
    </xf>
    <xf numFmtId="0" fontId="23" fillId="4" borderId="6" xfId="0" applyFont="1" applyFill="1" applyBorder="1" applyProtection="1">
      <protection locked="0"/>
    </xf>
    <xf numFmtId="44" fontId="0" fillId="4" borderId="0" xfId="1" applyFont="1" applyFill="1" applyBorder="1" applyProtection="1">
      <protection locked="0"/>
    </xf>
    <xf numFmtId="0" fontId="23" fillId="4" borderId="11" xfId="0" applyFont="1" applyFill="1" applyBorder="1" applyProtection="1">
      <protection locked="0"/>
    </xf>
    <xf numFmtId="0" fontId="7" fillId="3" borderId="14" xfId="0" applyFont="1" applyFill="1" applyBorder="1" applyProtection="1">
      <protection locked="0"/>
    </xf>
    <xf numFmtId="10" fontId="23" fillId="3" borderId="2" xfId="0" applyNumberFormat="1" applyFont="1" applyFill="1" applyBorder="1" applyProtection="1">
      <protection locked="0"/>
    </xf>
    <xf numFmtId="44" fontId="24" fillId="4" borderId="11" xfId="1" applyFont="1" applyFill="1" applyBorder="1" applyAlignment="1" applyProtection="1">
      <alignment horizontal="center"/>
      <protection locked="0"/>
    </xf>
    <xf numFmtId="0" fontId="17"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3" fillId="4" borderId="0" xfId="0" applyNumberFormat="1" applyFont="1" applyFill="1" applyBorder="1" applyProtection="1">
      <protection locked="0"/>
    </xf>
    <xf numFmtId="0" fontId="0" fillId="4" borderId="14" xfId="0" applyFont="1" applyFill="1" applyBorder="1" applyProtection="1">
      <protection locked="0"/>
    </xf>
    <xf numFmtId="44" fontId="0" fillId="4" borderId="3" xfId="1" applyFont="1" applyFill="1" applyBorder="1" applyProtection="1">
      <protection locked="0"/>
    </xf>
    <xf numFmtId="44" fontId="0" fillId="4" borderId="18" xfId="1" applyFont="1" applyFill="1" applyBorder="1" applyProtection="1">
      <protection locked="0"/>
    </xf>
    <xf numFmtId="44" fontId="0" fillId="4" borderId="6" xfId="1" applyFont="1" applyFill="1" applyBorder="1" applyProtection="1">
      <protection locked="0"/>
    </xf>
    <xf numFmtId="44" fontId="0" fillId="4" borderId="11" xfId="1" applyFont="1" applyFill="1" applyBorder="1" applyProtection="1">
      <protection locked="0"/>
    </xf>
    <xf numFmtId="44" fontId="7" fillId="4" borderId="0" xfId="1" applyFont="1" applyFill="1" applyBorder="1" applyProtection="1">
      <protection locked="0"/>
    </xf>
    <xf numFmtId="44" fontId="7" fillId="4" borderId="11" xfId="1" applyFont="1" applyFill="1" applyBorder="1" applyProtection="1">
      <protection locked="0"/>
    </xf>
    <xf numFmtId="44" fontId="7" fillId="4" borderId="7" xfId="1" applyFont="1" applyFill="1" applyBorder="1" applyProtection="1">
      <protection locked="0"/>
    </xf>
    <xf numFmtId="44" fontId="7" fillId="4" borderId="17" xfId="1" applyFont="1" applyFill="1" applyBorder="1" applyProtection="1">
      <protection locked="0"/>
    </xf>
    <xf numFmtId="0" fontId="23" fillId="0" borderId="0" xfId="0" applyFont="1" applyProtection="1">
      <protection locked="0"/>
    </xf>
    <xf numFmtId="44" fontId="14" fillId="2" borderId="2" xfId="1" applyFont="1" applyFill="1" applyBorder="1" applyProtection="1"/>
    <xf numFmtId="10" fontId="28" fillId="4" borderId="0" xfId="2" applyNumberFormat="1" applyFont="1" applyFill="1" applyBorder="1" applyAlignment="1" applyProtection="1">
      <alignment horizontal="left"/>
    </xf>
    <xf numFmtId="44" fontId="22" fillId="0" borderId="0" xfId="1" applyFont="1" applyAlignment="1" applyProtection="1">
      <alignment horizontal="left"/>
    </xf>
    <xf numFmtId="0" fontId="22" fillId="0" borderId="0" xfId="0" applyFont="1" applyFill="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4" fillId="2" borderId="2" xfId="2" applyNumberFormat="1" applyFont="1" applyFill="1" applyBorder="1" applyProtection="1"/>
    <xf numFmtId="44" fontId="24" fillId="2" borderId="2" xfId="1" applyFont="1" applyFill="1" applyBorder="1" applyProtection="1"/>
    <xf numFmtId="44" fontId="1" fillId="4" borderId="2" xfId="1" applyFont="1" applyFill="1" applyBorder="1" applyProtection="1"/>
    <xf numFmtId="10" fontId="24" fillId="2" borderId="15" xfId="2" applyNumberFormat="1" applyFont="1" applyFill="1" applyBorder="1" applyProtection="1"/>
    <xf numFmtId="10" fontId="17" fillId="4" borderId="5" xfId="0" applyNumberFormat="1" applyFont="1" applyFill="1" applyBorder="1" applyProtection="1"/>
    <xf numFmtId="44" fontId="23" fillId="4" borderId="5" xfId="1" applyFont="1" applyFill="1" applyBorder="1" applyProtection="1"/>
    <xf numFmtId="10" fontId="7" fillId="2" borderId="2" xfId="2" applyNumberFormat="1" applyFont="1" applyFill="1" applyBorder="1" applyProtection="1"/>
    <xf numFmtId="44" fontId="23" fillId="4" borderId="2" xfId="1" applyFont="1" applyFill="1" applyBorder="1" applyProtection="1"/>
    <xf numFmtId="10" fontId="23"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3" fillId="0" borderId="2" xfId="0" applyNumberFormat="1" applyFont="1" applyFill="1" applyBorder="1" applyProtection="1"/>
    <xf numFmtId="10" fontId="23" fillId="2" borderId="2" xfId="0" applyNumberFormat="1" applyFont="1" applyFill="1" applyBorder="1" applyProtection="1"/>
    <xf numFmtId="44" fontId="23" fillId="0" borderId="2" xfId="1" applyFont="1" applyFill="1" applyBorder="1" applyProtection="1"/>
    <xf numFmtId="44" fontId="23"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4" fillId="2" borderId="15" xfId="1" applyFont="1" applyFill="1" applyBorder="1" applyProtection="1"/>
    <xf numFmtId="165" fontId="14"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5" fillId="4" borderId="71" xfId="0" applyNumberFormat="1" applyFont="1" applyFill="1" applyBorder="1" applyProtection="1"/>
    <xf numFmtId="10" fontId="13" fillId="10" borderId="23" xfId="2" applyNumberFormat="1" applyFont="1" applyFill="1" applyBorder="1" applyAlignment="1" applyProtection="1">
      <alignment horizontal="center"/>
    </xf>
    <xf numFmtId="44" fontId="0" fillId="0" borderId="2" xfId="1" applyFont="1" applyBorder="1" applyProtection="1"/>
    <xf numFmtId="44" fontId="0" fillId="0" borderId="13" xfId="1" applyFont="1" applyBorder="1" applyProtection="1"/>
    <xf numFmtId="44" fontId="13" fillId="11" borderId="23" xfId="1" applyFont="1" applyFill="1" applyBorder="1" applyProtection="1"/>
    <xf numFmtId="44" fontId="7" fillId="2" borderId="8" xfId="1" applyFont="1" applyFill="1" applyBorder="1" applyProtection="1"/>
    <xf numFmtId="44" fontId="13"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7" fillId="4" borderId="8" xfId="0" applyNumberFormat="1" applyFont="1" applyFill="1" applyBorder="1" applyProtection="1"/>
    <xf numFmtId="2" fontId="0" fillId="0" borderId="2" xfId="0" applyNumberFormat="1" applyFont="1" applyBorder="1" applyProtection="1"/>
    <xf numFmtId="2" fontId="27" fillId="4" borderId="2" xfId="0" applyNumberFormat="1" applyFont="1" applyFill="1" applyBorder="1" applyProtection="1"/>
    <xf numFmtId="2" fontId="0" fillId="0" borderId="24" xfId="0" applyNumberFormat="1" applyFont="1" applyBorder="1" applyProtection="1"/>
    <xf numFmtId="2" fontId="27" fillId="4" borderId="24" xfId="0" applyNumberFormat="1" applyFont="1" applyFill="1" applyBorder="1" applyProtection="1"/>
    <xf numFmtId="2" fontId="27"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9" fillId="0" borderId="0" xfId="0" applyFont="1" applyAlignment="1" applyProtection="1">
      <alignment horizontal="left"/>
      <protection locked="0"/>
    </xf>
    <xf numFmtId="0" fontId="38"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8"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51" xfId="1" applyNumberFormat="1" applyFont="1" applyFill="1" applyBorder="1" applyProtection="1">
      <protection locked="0"/>
    </xf>
    <xf numFmtId="0" fontId="38"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4" fillId="4" borderId="4" xfId="0" applyFont="1" applyFill="1" applyBorder="1" applyProtection="1">
      <protection locked="0"/>
    </xf>
    <xf numFmtId="3" fontId="0" fillId="4" borderId="4" xfId="0" applyNumberFormat="1" applyFont="1" applyFill="1" applyBorder="1" applyProtection="1">
      <protection locked="0"/>
    </xf>
    <xf numFmtId="0" fontId="29"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52" xfId="1" applyNumberFormat="1" applyFont="1" applyFill="1" applyBorder="1" applyProtection="1"/>
    <xf numFmtId="166" fontId="3" fillId="2" borderId="53"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5" fillId="4" borderId="12" xfId="0" applyNumberFormat="1" applyFont="1" applyFill="1" applyBorder="1" applyProtection="1"/>
    <xf numFmtId="10" fontId="14"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7" fillId="0" borderId="0" xfId="3" applyFont="1" applyFill="1" applyProtection="1">
      <protection locked="0"/>
    </xf>
    <xf numFmtId="0" fontId="17" fillId="4" borderId="0" xfId="3" applyFont="1" applyFill="1" applyBorder="1" applyProtection="1">
      <protection locked="0"/>
    </xf>
    <xf numFmtId="0" fontId="18" fillId="4" borderId="6" xfId="0" applyFont="1" applyFill="1" applyBorder="1" applyProtection="1">
      <protection locked="0"/>
    </xf>
    <xf numFmtId="0" fontId="17" fillId="4" borderId="11" xfId="3" applyFont="1" applyFill="1" applyBorder="1" applyProtection="1">
      <protection locked="0"/>
    </xf>
    <xf numFmtId="0" fontId="0" fillId="3" borderId="7" xfId="0" applyFont="1" applyFill="1" applyBorder="1" applyAlignment="1" applyProtection="1">
      <alignment vertical="center"/>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9" xfId="3" applyNumberFormat="1" applyFont="1" applyFill="1" applyBorder="1" applyProtection="1">
      <protection locked="0"/>
    </xf>
    <xf numFmtId="44" fontId="7" fillId="3" borderId="24"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42" fillId="4" borderId="57" xfId="1" applyFont="1" applyFill="1" applyBorder="1" applyProtection="1"/>
    <xf numFmtId="44" fontId="7" fillId="4" borderId="2" xfId="1" applyFont="1" applyFill="1" applyBorder="1" applyProtection="1"/>
    <xf numFmtId="44" fontId="7" fillId="4" borderId="39" xfId="1" applyFont="1" applyFill="1" applyBorder="1" applyProtection="1"/>
    <xf numFmtId="44" fontId="42" fillId="4" borderId="58" xfId="1" applyFont="1" applyFill="1" applyBorder="1" applyProtection="1"/>
    <xf numFmtId="44" fontId="7" fillId="4" borderId="24" xfId="1" applyFont="1" applyFill="1" applyBorder="1" applyProtection="1"/>
    <xf numFmtId="10" fontId="14" fillId="4" borderId="39" xfId="2" applyNumberFormat="1" applyFont="1" applyFill="1" applyBorder="1" applyAlignment="1" applyProtection="1">
      <alignment horizontal="center"/>
    </xf>
    <xf numFmtId="10" fontId="14" fillId="4" borderId="24" xfId="2" applyNumberFormat="1" applyFont="1" applyFill="1" applyBorder="1" applyAlignment="1" applyProtection="1">
      <alignment horizontal="center"/>
    </xf>
    <xf numFmtId="44" fontId="14" fillId="2" borderId="8" xfId="1" applyFont="1" applyFill="1" applyBorder="1" applyProtection="1"/>
    <xf numFmtId="10" fontId="0" fillId="4" borderId="13" xfId="0" applyNumberFormat="1" applyFont="1" applyFill="1" applyBorder="1" applyProtection="1"/>
    <xf numFmtId="0" fontId="19" fillId="0" borderId="0" xfId="3" applyFont="1" applyFill="1" applyProtection="1"/>
    <xf numFmtId="0" fontId="0" fillId="4" borderId="14" xfId="0" applyFont="1" applyFill="1" applyBorder="1" applyAlignment="1" applyProtection="1">
      <alignment horizontal="left"/>
    </xf>
    <xf numFmtId="44" fontId="17" fillId="0" borderId="0" xfId="1" applyFont="1" applyFill="1" applyProtection="1">
      <protection locked="0"/>
    </xf>
    <xf numFmtId="167" fontId="37" fillId="3" borderId="16" xfId="3" applyNumberFormat="1" applyFont="1" applyFill="1" applyBorder="1" applyProtection="1">
      <protection locked="0"/>
    </xf>
    <xf numFmtId="10" fontId="15" fillId="4" borderId="24" xfId="2" applyNumberFormat="1" applyFont="1" applyFill="1" applyBorder="1" applyAlignment="1" applyProtection="1">
      <alignment horizontal="center"/>
    </xf>
    <xf numFmtId="44" fontId="27" fillId="4" borderId="2" xfId="1" applyFont="1" applyFill="1" applyBorder="1" applyProtection="1"/>
    <xf numFmtId="44" fontId="15"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0" fontId="9" fillId="0" borderId="0" xfId="0" applyFont="1" applyProtection="1"/>
    <xf numFmtId="0" fontId="53" fillId="4" borderId="0" xfId="0" applyFont="1" applyFill="1" applyBorder="1" applyProtection="1"/>
    <xf numFmtId="0" fontId="2" fillId="4" borderId="11" xfId="0" applyFont="1" applyFill="1" applyBorder="1" applyAlignment="1" applyProtection="1">
      <alignment horizontal="right"/>
    </xf>
    <xf numFmtId="0" fontId="20" fillId="4" borderId="6" xfId="0" applyFont="1" applyFill="1" applyBorder="1" applyProtection="1">
      <protection locked="0"/>
    </xf>
    <xf numFmtId="0" fontId="20"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69" fontId="7" fillId="4" borderId="5" xfId="1" applyNumberFormat="1" applyFont="1" applyFill="1" applyBorder="1" applyProtection="1">
      <protection locked="0"/>
    </xf>
    <xf numFmtId="0" fontId="7" fillId="4" borderId="8" xfId="0" applyFont="1" applyFill="1" applyBorder="1" applyProtection="1">
      <protection locked="0"/>
    </xf>
    <xf numFmtId="169"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9"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69" fontId="7" fillId="4" borderId="5" xfId="1" applyNumberFormat="1" applyFont="1" applyFill="1" applyBorder="1" applyProtection="1"/>
    <xf numFmtId="169" fontId="7" fillId="4" borderId="2" xfId="1" applyNumberFormat="1" applyFont="1" applyFill="1" applyBorder="1" applyProtection="1"/>
    <xf numFmtId="169"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8" fillId="4" borderId="6" xfId="0" applyFont="1" applyFill="1" applyBorder="1" applyProtection="1">
      <protection locked="0"/>
    </xf>
    <xf numFmtId="0" fontId="8" fillId="4" borderId="0" xfId="0" applyFont="1" applyFill="1" applyBorder="1" applyProtection="1">
      <protection locked="0"/>
    </xf>
    <xf numFmtId="44" fontId="3" fillId="4" borderId="35" xfId="1" applyFont="1" applyFill="1" applyBorder="1" applyProtection="1">
      <protection locked="0"/>
    </xf>
    <xf numFmtId="44" fontId="0" fillId="4" borderId="35" xfId="1" applyFont="1" applyFill="1" applyBorder="1" applyProtection="1">
      <protection locked="0"/>
    </xf>
    <xf numFmtId="44" fontId="0" fillId="4" borderId="42" xfId="1" applyFont="1" applyFill="1" applyBorder="1" applyProtection="1">
      <protection locked="0"/>
    </xf>
    <xf numFmtId="44" fontId="3" fillId="3" borderId="31" xfId="1" applyFont="1" applyFill="1" applyBorder="1" applyProtection="1">
      <protection locked="0"/>
    </xf>
    <xf numFmtId="44" fontId="0" fillId="0" borderId="0" xfId="0" applyNumberFormat="1" applyProtection="1">
      <protection locked="0"/>
    </xf>
    <xf numFmtId="0" fontId="0" fillId="0" borderId="0" xfId="0" applyBorder="1" applyProtection="1">
      <protection locked="0"/>
    </xf>
    <xf numFmtId="0" fontId="0" fillId="4" borderId="0" xfId="0" applyFill="1" applyProtection="1">
      <protection locked="0"/>
    </xf>
    <xf numFmtId="0" fontId="9" fillId="4" borderId="6" xfId="0" applyFont="1" applyFill="1" applyBorder="1" applyProtection="1"/>
    <xf numFmtId="44" fontId="4" fillId="4" borderId="34" xfId="1" applyFont="1" applyFill="1" applyBorder="1" applyProtection="1"/>
    <xf numFmtId="44" fontId="4" fillId="4" borderId="41" xfId="1" applyFont="1" applyFill="1" applyBorder="1" applyProtection="1"/>
    <xf numFmtId="44" fontId="13" fillId="2" borderId="38" xfId="1" applyFont="1" applyFill="1" applyBorder="1" applyProtection="1"/>
    <xf numFmtId="44" fontId="14" fillId="5" borderId="35" xfId="1" applyFont="1" applyFill="1" applyBorder="1" applyAlignment="1" applyProtection="1">
      <alignment horizontal="right"/>
    </xf>
    <xf numFmtId="44" fontId="14" fillId="5" borderId="42" xfId="1" applyFont="1" applyFill="1" applyBorder="1" applyAlignment="1" applyProtection="1">
      <alignment horizontal="right"/>
    </xf>
    <xf numFmtId="44" fontId="3" fillId="5" borderId="35" xfId="1" applyFont="1" applyFill="1" applyBorder="1" applyAlignment="1" applyProtection="1">
      <alignment horizontal="right"/>
    </xf>
    <xf numFmtId="44" fontId="3" fillId="5" borderId="42" xfId="1" applyFont="1" applyFill="1" applyBorder="1" applyAlignment="1" applyProtection="1">
      <alignment horizontal="right"/>
    </xf>
    <xf numFmtId="44" fontId="3" fillId="5" borderId="31" xfId="1" applyFont="1" applyFill="1" applyBorder="1" applyAlignment="1" applyProtection="1">
      <alignment horizontal="right"/>
    </xf>
    <xf numFmtId="44" fontId="3" fillId="5" borderId="44" xfId="1" applyFont="1" applyFill="1" applyBorder="1" applyAlignment="1" applyProtection="1">
      <alignment horizontal="right"/>
    </xf>
    <xf numFmtId="44" fontId="13" fillId="2" borderId="34" xfId="1" applyFont="1" applyFill="1" applyBorder="1" applyAlignment="1" applyProtection="1">
      <alignment horizontal="right" wrapText="1"/>
    </xf>
    <xf numFmtId="44" fontId="13" fillId="2" borderId="41" xfId="1" applyFont="1" applyFill="1" applyBorder="1" applyAlignment="1" applyProtection="1">
      <alignment horizontal="right" wrapText="1"/>
    </xf>
    <xf numFmtId="10" fontId="14" fillId="2" borderId="34" xfId="0" applyNumberFormat="1" applyFont="1" applyFill="1" applyBorder="1" applyAlignment="1" applyProtection="1">
      <alignment horizontal="right" wrapText="1"/>
    </xf>
    <xf numFmtId="10" fontId="14" fillId="2" borderId="41" xfId="0" applyNumberFormat="1" applyFont="1" applyFill="1" applyBorder="1" applyAlignment="1" applyProtection="1">
      <alignment horizontal="right" wrapText="1"/>
    </xf>
    <xf numFmtId="44" fontId="3" fillId="4" borderId="36" xfId="0" applyNumberFormat="1" applyFont="1" applyFill="1" applyBorder="1" applyAlignment="1" applyProtection="1">
      <alignment horizontal="right"/>
    </xf>
    <xf numFmtId="44" fontId="3" fillId="4" borderId="43" xfId="0" applyNumberFormat="1" applyFont="1" applyFill="1" applyBorder="1" applyAlignment="1" applyProtection="1">
      <alignment horizontal="right"/>
    </xf>
    <xf numFmtId="44" fontId="3" fillId="4" borderId="35" xfId="1" applyFont="1" applyFill="1" applyBorder="1" applyAlignment="1" applyProtection="1">
      <alignment horizontal="right"/>
    </xf>
    <xf numFmtId="44" fontId="3" fillId="4" borderId="42" xfId="1" applyFont="1" applyFill="1" applyBorder="1" applyAlignment="1" applyProtection="1">
      <alignment horizontal="right"/>
    </xf>
    <xf numFmtId="0" fontId="13" fillId="2" borderId="34" xfId="0" applyFont="1" applyFill="1" applyBorder="1" applyAlignment="1" applyProtection="1">
      <alignment horizontal="center"/>
    </xf>
    <xf numFmtId="0" fontId="13" fillId="2" borderId="34" xfId="0" applyFont="1" applyFill="1" applyBorder="1" applyAlignment="1" applyProtection="1">
      <alignment horizontal="center" wrapText="1"/>
    </xf>
    <xf numFmtId="0" fontId="13" fillId="2" borderId="41" xfId="0" applyFont="1" applyFill="1" applyBorder="1" applyAlignment="1" applyProtection="1">
      <alignment horizontal="center"/>
    </xf>
    <xf numFmtId="0" fontId="13" fillId="2" borderId="14" xfId="0" applyFont="1" applyFill="1" applyBorder="1" applyProtection="1"/>
    <xf numFmtId="0" fontId="12" fillId="2" borderId="15" xfId="0" applyFont="1" applyFill="1" applyBorder="1" applyProtection="1"/>
    <xf numFmtId="0" fontId="4" fillId="4" borderId="3" xfId="0" applyFont="1" applyFill="1" applyBorder="1" applyProtection="1"/>
    <xf numFmtId="0" fontId="0" fillId="4" borderId="4" xfId="0" applyFill="1" applyBorder="1" applyProtection="1"/>
    <xf numFmtId="0" fontId="10" fillId="4" borderId="4" xfId="0" applyFont="1" applyFill="1" applyBorder="1" applyProtection="1"/>
    <xf numFmtId="0" fontId="4" fillId="4" borderId="6" xfId="0" applyFont="1" applyFill="1" applyBorder="1" applyProtection="1"/>
    <xf numFmtId="0" fontId="3" fillId="4" borderId="0" xfId="0" applyFont="1" applyFill="1" applyBorder="1" applyProtection="1"/>
    <xf numFmtId="0" fontId="0" fillId="4" borderId="0" xfId="0" applyFill="1" applyBorder="1" applyProtection="1"/>
    <xf numFmtId="0" fontId="10" fillId="4" borderId="0" xfId="0" applyFont="1" applyFill="1" applyBorder="1" applyProtection="1"/>
    <xf numFmtId="44" fontId="3" fillId="4" borderId="0" xfId="1" applyFont="1" applyFill="1" applyBorder="1" applyProtection="1"/>
    <xf numFmtId="0" fontId="4" fillId="4" borderId="7" xfId="0" applyFont="1" applyFill="1" applyBorder="1" applyProtection="1"/>
    <xf numFmtId="0" fontId="3" fillId="4" borderId="1" xfId="0" applyFont="1" applyFill="1" applyBorder="1" applyProtection="1"/>
    <xf numFmtId="0" fontId="0" fillId="4" borderId="1" xfId="0" applyFill="1" applyBorder="1" applyProtection="1"/>
    <xf numFmtId="0" fontId="10" fillId="4" borderId="1" xfId="0" applyFont="1" applyFill="1" applyBorder="1" applyProtection="1"/>
    <xf numFmtId="44" fontId="3" fillId="4" borderId="1" xfId="1" applyFont="1" applyFill="1" applyBorder="1" applyProtection="1"/>
    <xf numFmtId="0" fontId="3" fillId="4" borderId="70" xfId="0" applyFont="1" applyFill="1" applyBorder="1" applyProtection="1"/>
    <xf numFmtId="0" fontId="4" fillId="4" borderId="14" xfId="0" applyFont="1" applyFill="1" applyBorder="1" applyProtection="1"/>
    <xf numFmtId="0" fontId="3" fillId="4" borderId="15" xfId="0" applyFont="1" applyFill="1" applyBorder="1" applyProtection="1"/>
    <xf numFmtId="0" fontId="0" fillId="4" borderId="15" xfId="0" applyFill="1" applyBorder="1" applyProtection="1"/>
    <xf numFmtId="0" fontId="10" fillId="4" borderId="15" xfId="0" applyFont="1" applyFill="1" applyBorder="1" applyProtection="1"/>
    <xf numFmtId="44" fontId="3" fillId="4" borderId="15" xfId="1" applyFont="1" applyFill="1" applyBorder="1" applyProtection="1"/>
    <xf numFmtId="0" fontId="3" fillId="4" borderId="56" xfId="0" applyFont="1" applyFill="1" applyBorder="1" applyProtection="1"/>
    <xf numFmtId="0" fontId="13" fillId="5" borderId="6" xfId="0" applyFont="1" applyFill="1" applyBorder="1" applyProtection="1"/>
    <xf numFmtId="0" fontId="7" fillId="5" borderId="0" xfId="0" applyFont="1" applyFill="1" applyBorder="1" applyProtection="1"/>
    <xf numFmtId="0" fontId="14" fillId="5" borderId="0" xfId="0" applyFont="1" applyFill="1" applyBorder="1" applyProtection="1"/>
    <xf numFmtId="0" fontId="0" fillId="5" borderId="0" xfId="0" applyFill="1" applyBorder="1" applyProtection="1"/>
    <xf numFmtId="0" fontId="10" fillId="5" borderId="0" xfId="0" applyFont="1" applyFill="1" applyBorder="1" applyProtection="1"/>
    <xf numFmtId="0" fontId="3" fillId="5" borderId="0" xfId="0" applyFont="1" applyFill="1" applyBorder="1" applyProtection="1"/>
    <xf numFmtId="44" fontId="3" fillId="5" borderId="0" xfId="1" applyFont="1" applyFill="1" applyBorder="1" applyProtection="1"/>
    <xf numFmtId="0" fontId="3" fillId="4" borderId="6" xfId="0" applyFont="1" applyFill="1" applyBorder="1" applyProtection="1"/>
    <xf numFmtId="44" fontId="33" fillId="2" borderId="23" xfId="1" applyFont="1" applyFill="1" applyBorder="1" applyProtection="1"/>
    <xf numFmtId="44" fontId="4" fillId="2" borderId="38" xfId="0" applyNumberFormat="1" applyFont="1" applyFill="1" applyBorder="1" applyProtection="1"/>
    <xf numFmtId="44" fontId="4" fillId="2" borderId="48" xfId="1" applyFont="1" applyFill="1" applyBorder="1" applyProtection="1"/>
    <xf numFmtId="0" fontId="44" fillId="4" borderId="0" xfId="0" applyFont="1" applyFill="1" applyBorder="1" applyProtection="1">
      <protection locked="0"/>
    </xf>
    <xf numFmtId="0" fontId="7" fillId="4" borderId="15" xfId="0" applyFont="1" applyFill="1" applyBorder="1" applyProtection="1">
      <protection locked="0"/>
    </xf>
    <xf numFmtId="0" fontId="14" fillId="4" borderId="0" xfId="0" applyFont="1" applyFill="1" applyBorder="1" applyProtection="1">
      <protection locked="0"/>
    </xf>
    <xf numFmtId="44" fontId="13"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9" fillId="0" borderId="0" xfId="0" applyFont="1" applyProtection="1">
      <protection locked="0"/>
    </xf>
    <xf numFmtId="0" fontId="14" fillId="4" borderId="53" xfId="0" applyFont="1" applyFill="1" applyBorder="1" applyProtection="1">
      <protection locked="0"/>
    </xf>
    <xf numFmtId="0" fontId="0" fillId="4" borderId="28" xfId="0" applyFill="1" applyBorder="1" applyAlignment="1" applyProtection="1">
      <alignment horizontal="left"/>
      <protection locked="0"/>
    </xf>
    <xf numFmtId="0" fontId="14"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12" fillId="0" borderId="0"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19" fillId="0" borderId="0" xfId="0" applyFont="1" applyBorder="1" applyProtection="1">
      <protection locked="0"/>
    </xf>
    <xf numFmtId="44" fontId="12" fillId="0" borderId="0" xfId="0" applyNumberFormat="1" applyFont="1" applyFill="1" applyBorder="1" applyAlignment="1" applyProtection="1">
      <alignment horizontal="right"/>
      <protection locked="0"/>
    </xf>
    <xf numFmtId="44" fontId="12"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3" fillId="0" borderId="0" xfId="0"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9" fillId="0" borderId="0" xfId="0" applyFont="1" applyFill="1" applyBorder="1" applyProtection="1">
      <protection locked="0"/>
    </xf>
    <xf numFmtId="0" fontId="19" fillId="0" borderId="0" xfId="0" applyFont="1" applyFill="1" applyProtection="1">
      <protection locked="0"/>
    </xf>
    <xf numFmtId="0" fontId="7" fillId="0" borderId="0" xfId="0" applyFont="1" applyFill="1" applyProtection="1">
      <protection locked="0"/>
    </xf>
    <xf numFmtId="1" fontId="19" fillId="0" borderId="0" xfId="0" applyNumberFormat="1" applyFont="1" applyAlignment="1" applyProtection="1">
      <alignment horizontal="right"/>
    </xf>
    <xf numFmtId="0" fontId="19" fillId="0" borderId="0" xfId="0" applyFont="1" applyProtection="1"/>
    <xf numFmtId="2" fontId="19" fillId="0" borderId="0" xfId="0" applyNumberFormat="1" applyFont="1" applyAlignment="1" applyProtection="1">
      <alignment horizontal="right"/>
    </xf>
    <xf numFmtId="1" fontId="19" fillId="0" borderId="0" xfId="0" applyNumberFormat="1" applyFont="1" applyAlignment="1" applyProtection="1">
      <alignment horizontal="right" vertical="top"/>
    </xf>
    <xf numFmtId="0" fontId="19" fillId="0" borderId="0" xfId="0" applyFont="1" applyAlignment="1" applyProtection="1">
      <alignment vertical="top"/>
    </xf>
    <xf numFmtId="0" fontId="14" fillId="8" borderId="77" xfId="0" applyFont="1" applyFill="1" applyBorder="1" applyAlignment="1" applyProtection="1">
      <alignment horizontal="right" vertical="center"/>
    </xf>
    <xf numFmtId="0" fontId="3" fillId="0" borderId="0" xfId="0" applyFont="1" applyProtection="1"/>
    <xf numFmtId="10" fontId="13" fillId="9" borderId="23" xfId="2" applyNumberFormat="1" applyFont="1" applyFill="1" applyBorder="1" applyProtection="1"/>
    <xf numFmtId="0" fontId="2" fillId="4" borderId="9" xfId="0" applyFont="1" applyFill="1" applyBorder="1" applyProtection="1"/>
    <xf numFmtId="0" fontId="9" fillId="4" borderId="26" xfId="0" applyFont="1" applyFill="1" applyBorder="1" applyAlignment="1" applyProtection="1">
      <alignment horizontal="left"/>
    </xf>
    <xf numFmtId="22" fontId="7" fillId="8" borderId="87" xfId="0" quotePrefix="1" applyNumberFormat="1" applyFont="1" applyFill="1" applyBorder="1" applyAlignment="1" applyProtection="1"/>
    <xf numFmtId="0" fontId="14" fillId="8" borderId="88" xfId="0" applyFont="1" applyFill="1" applyBorder="1" applyAlignment="1" applyProtection="1">
      <alignment horizontal="center" vertical="center"/>
    </xf>
    <xf numFmtId="0" fontId="7" fillId="8" borderId="87" xfId="0" applyFont="1" applyFill="1" applyBorder="1" applyAlignment="1" applyProtection="1">
      <alignment horizontal="center" vertical="center"/>
    </xf>
    <xf numFmtId="0" fontId="7" fillId="4" borderId="87" xfId="0" applyFont="1" applyFill="1" applyBorder="1" applyAlignment="1" applyProtection="1">
      <alignment vertical="center" wrapText="1"/>
    </xf>
    <xf numFmtId="0" fontId="0" fillId="4" borderId="74" xfId="0" applyFont="1" applyFill="1" applyBorder="1" applyProtection="1"/>
    <xf numFmtId="0" fontId="0" fillId="4" borderId="0" xfId="0" applyFont="1" applyFill="1" applyBorder="1" applyProtection="1"/>
    <xf numFmtId="0" fontId="0" fillId="4" borderId="76" xfId="0" applyFont="1" applyFill="1" applyBorder="1" applyProtection="1"/>
    <xf numFmtId="10" fontId="0" fillId="0" borderId="0" xfId="2" applyNumberFormat="1" applyFont="1" applyProtection="1">
      <protection locked="0"/>
    </xf>
    <xf numFmtId="10" fontId="0" fillId="3" borderId="2" xfId="2" applyNumberFormat="1" applyFont="1" applyFill="1" applyBorder="1" applyAlignment="1" applyProtection="1">
      <alignment horizontal="center"/>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1" fillId="4" borderId="2" xfId="1" applyNumberFormat="1" applyFont="1" applyFill="1" applyBorder="1" applyProtection="1"/>
    <xf numFmtId="44" fontId="3" fillId="4" borderId="23" xfId="0" applyNumberFormat="1" applyFont="1" applyFill="1" applyBorder="1" applyProtection="1"/>
    <xf numFmtId="0" fontId="17" fillId="4" borderId="16" xfId="3" applyFont="1" applyFill="1" applyBorder="1" applyProtection="1"/>
    <xf numFmtId="0" fontId="9" fillId="0" borderId="0" xfId="0" applyFont="1" applyProtection="1">
      <protection locked="0"/>
    </xf>
    <xf numFmtId="0" fontId="50"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62" fillId="0" borderId="0" xfId="0" applyFont="1" applyProtection="1">
      <protection locked="0"/>
    </xf>
    <xf numFmtId="44" fontId="62" fillId="0" borderId="0" xfId="0" applyNumberFormat="1" applyFont="1" applyProtection="1">
      <protection locked="0"/>
    </xf>
    <xf numFmtId="10" fontId="62" fillId="0" borderId="0" xfId="2" applyNumberFormat="1" applyFont="1" applyProtection="1">
      <protection locked="0"/>
    </xf>
    <xf numFmtId="10" fontId="0" fillId="0" borderId="8" xfId="1" applyNumberFormat="1" applyFont="1" applyFill="1" applyBorder="1" applyProtection="1"/>
    <xf numFmtId="0" fontId="24" fillId="0" borderId="0" xfId="3" applyFont="1" applyFill="1" applyProtection="1">
      <protection locked="0"/>
    </xf>
    <xf numFmtId="0" fontId="7" fillId="4" borderId="90" xfId="0" applyFont="1" applyFill="1" applyBorder="1" applyAlignment="1" applyProtection="1">
      <alignment vertical="center" wrapText="1"/>
    </xf>
    <xf numFmtId="10" fontId="13" fillId="4" borderId="91" xfId="2" applyNumberFormat="1" applyFont="1" applyFill="1" applyBorder="1" applyAlignment="1" applyProtection="1">
      <alignment horizontal="center" vertical="center"/>
    </xf>
    <xf numFmtId="10" fontId="13" fillId="4" borderId="92" xfId="2" applyNumberFormat="1" applyFont="1" applyFill="1" applyBorder="1" applyAlignment="1" applyProtection="1">
      <alignment horizontal="center" vertical="center"/>
    </xf>
    <xf numFmtId="0" fontId="3" fillId="4" borderId="86" xfId="0" applyFont="1" applyFill="1" applyBorder="1" applyProtection="1"/>
    <xf numFmtId="0" fontId="3" fillId="8" borderId="87" xfId="0" applyFont="1" applyFill="1" applyBorder="1" applyAlignment="1" applyProtection="1">
      <alignment horizontal="right"/>
    </xf>
    <xf numFmtId="170" fontId="14" fillId="4" borderId="94" xfId="1" applyNumberFormat="1" applyFont="1" applyFill="1" applyBorder="1" applyAlignment="1" applyProtection="1">
      <alignment horizontal="center" vertical="center"/>
    </xf>
    <xf numFmtId="1" fontId="7" fillId="4" borderId="91"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4"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4" fillId="4" borderId="7" xfId="1" applyFont="1" applyFill="1" applyBorder="1" applyProtection="1"/>
    <xf numFmtId="44" fontId="14" fillId="4" borderId="17" xfId="1" applyFont="1" applyFill="1" applyBorder="1" applyProtection="1"/>
    <xf numFmtId="0" fontId="19"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44" fontId="7" fillId="3" borderId="13" xfId="1" applyFont="1" applyFill="1" applyBorder="1" applyProtection="1">
      <protection locked="0"/>
    </xf>
    <xf numFmtId="0" fontId="14"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4" fillId="2" borderId="14" xfId="0" applyFont="1" applyFill="1" applyBorder="1" applyAlignment="1" applyProtection="1">
      <alignment vertical="top" wrapText="1"/>
    </xf>
    <xf numFmtId="167" fontId="14"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4" fillId="2" borderId="14" xfId="2" applyNumberFormat="1" applyFont="1" applyFill="1" applyBorder="1" applyAlignment="1" applyProtection="1">
      <alignment horizontal="center" wrapText="1"/>
    </xf>
    <xf numFmtId="10" fontId="14"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4" fillId="2" borderId="14" xfId="0" applyFont="1" applyFill="1" applyBorder="1" applyProtection="1"/>
    <xf numFmtId="0" fontId="14" fillId="2" borderId="15" xfId="0" applyFont="1" applyFill="1" applyBorder="1" applyProtection="1"/>
    <xf numFmtId="10" fontId="14" fillId="2" borderId="15" xfId="0" applyNumberFormat="1" applyFont="1" applyFill="1" applyBorder="1" applyProtection="1"/>
    <xf numFmtId="44" fontId="14"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4" fillId="4" borderId="14" xfId="0" applyFont="1" applyFill="1" applyBorder="1" applyProtection="1"/>
    <xf numFmtId="0" fontId="14"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6" fillId="2" borderId="16" xfId="0" applyFont="1" applyFill="1" applyBorder="1" applyProtection="1"/>
    <xf numFmtId="0" fontId="7" fillId="2" borderId="83" xfId="0" applyFont="1" applyFill="1" applyBorder="1" applyProtection="1"/>
    <xf numFmtId="0" fontId="2" fillId="0" borderId="0" xfId="0" applyFont="1" applyProtection="1"/>
    <xf numFmtId="2" fontId="22" fillId="0" borderId="98" xfId="0" applyNumberFormat="1" applyFont="1" applyBorder="1" applyAlignment="1" applyProtection="1">
      <alignment horizontal="center"/>
    </xf>
    <xf numFmtId="2" fontId="22" fillId="0" borderId="95" xfId="0" applyNumberFormat="1" applyFont="1" applyBorder="1" applyAlignment="1" applyProtection="1">
      <alignment horizontal="center"/>
    </xf>
    <xf numFmtId="0" fontId="44" fillId="4" borderId="3" xfId="0" applyFont="1" applyFill="1" applyBorder="1" applyProtection="1"/>
    <xf numFmtId="0" fontId="0" fillId="4" borderId="18" xfId="0" applyFill="1" applyBorder="1" applyProtection="1"/>
    <xf numFmtId="0" fontId="44" fillId="4" borderId="6" xfId="0" applyFont="1" applyFill="1" applyBorder="1" applyProtection="1"/>
    <xf numFmtId="0" fontId="14" fillId="4" borderId="11" xfId="0" applyFont="1" applyFill="1" applyBorder="1" applyAlignment="1" applyProtection="1">
      <alignment horizontal="right"/>
    </xf>
    <xf numFmtId="0" fontId="13" fillId="4" borderId="3" xfId="0" applyFont="1" applyFill="1" applyBorder="1" applyAlignment="1" applyProtection="1">
      <alignment horizontal="left"/>
    </xf>
    <xf numFmtId="0" fontId="13" fillId="4" borderId="4" xfId="0" applyFont="1" applyFill="1" applyBorder="1" applyProtection="1"/>
    <xf numFmtId="0" fontId="0" fillId="4" borderId="18" xfId="0" applyFont="1" applyFill="1" applyBorder="1" applyProtection="1"/>
    <xf numFmtId="0" fontId="0" fillId="4" borderId="11" xfId="0" applyFill="1" applyBorder="1" applyProtection="1"/>
    <xf numFmtId="0" fontId="2" fillId="4" borderId="11" xfId="0" applyFont="1" applyFill="1" applyBorder="1" applyProtection="1"/>
    <xf numFmtId="0" fontId="7" fillId="4" borderId="1" xfId="0" applyFont="1" applyFill="1" applyBorder="1" applyProtection="1"/>
    <xf numFmtId="0" fontId="2" fillId="4" borderId="17" xfId="0" applyFont="1" applyFill="1" applyBorder="1" applyProtection="1"/>
    <xf numFmtId="0" fontId="33" fillId="4" borderId="3" xfId="0" applyFont="1" applyFill="1" applyBorder="1" applyProtection="1"/>
    <xf numFmtId="0" fontId="33"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3" fillId="4" borderId="4" xfId="0" applyFont="1" applyFill="1" applyBorder="1" applyProtection="1"/>
    <xf numFmtId="0" fontId="23" fillId="4" borderId="0" xfId="0" applyFont="1" applyFill="1" applyBorder="1" applyProtection="1"/>
    <xf numFmtId="0" fontId="33" fillId="8" borderId="3" xfId="0" applyFont="1" applyFill="1" applyBorder="1" applyProtection="1"/>
    <xf numFmtId="0" fontId="0" fillId="8" borderId="4" xfId="0" applyFont="1" applyFill="1" applyBorder="1" applyProtection="1"/>
    <xf numFmtId="0" fontId="23" fillId="8" borderId="4" xfId="0" applyFont="1" applyFill="1" applyBorder="1" applyProtection="1"/>
    <xf numFmtId="0" fontId="0" fillId="8" borderId="18" xfId="0" applyFont="1" applyFill="1" applyBorder="1" applyProtection="1"/>
    <xf numFmtId="0" fontId="44" fillId="8" borderId="6" xfId="0" applyFont="1" applyFill="1" applyBorder="1" applyProtection="1"/>
    <xf numFmtId="0" fontId="44" fillId="8" borderId="0" xfId="0" applyFont="1" applyFill="1" applyBorder="1" applyProtection="1"/>
    <xf numFmtId="0" fontId="14" fillId="8"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8"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55" xfId="0" applyFont="1" applyFill="1" applyBorder="1" applyAlignment="1" applyProtection="1">
      <alignment horizontal="center" wrapText="1"/>
    </xf>
    <xf numFmtId="0" fontId="0" fillId="2" borderId="32" xfId="0" applyFont="1" applyFill="1" applyBorder="1" applyAlignment="1" applyProtection="1">
      <alignment horizontal="center" wrapText="1"/>
    </xf>
    <xf numFmtId="0" fontId="25"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7" fillId="4" borderId="4" xfId="3" applyFont="1" applyFill="1" applyBorder="1" applyProtection="1"/>
    <xf numFmtId="0" fontId="17" fillId="4" borderId="18" xfId="3" applyFont="1" applyFill="1" applyBorder="1" applyProtection="1"/>
    <xf numFmtId="0" fontId="34" fillId="4" borderId="7" xfId="0" applyFont="1" applyFill="1" applyBorder="1" applyProtection="1"/>
    <xf numFmtId="0" fontId="17" fillId="4" borderId="1" xfId="3" applyFont="1" applyFill="1" applyBorder="1" applyProtection="1"/>
    <xf numFmtId="0" fontId="17" fillId="4" borderId="0" xfId="3" applyFont="1" applyFill="1" applyBorder="1" applyProtection="1"/>
    <xf numFmtId="0" fontId="17" fillId="0" borderId="16" xfId="3" applyFont="1" applyFill="1" applyBorder="1" applyProtection="1"/>
    <xf numFmtId="0" fontId="0" fillId="3" borderId="15" xfId="0" applyFont="1" applyFill="1" applyBorder="1" applyProtection="1"/>
    <xf numFmtId="0" fontId="17" fillId="8" borderId="4" xfId="3" applyFont="1" applyFill="1" applyBorder="1" applyProtection="1"/>
    <xf numFmtId="0" fontId="17" fillId="8" borderId="18" xfId="3" applyFont="1" applyFill="1" applyBorder="1" applyProtection="1"/>
    <xf numFmtId="0" fontId="34" fillId="8" borderId="7" xfId="0" applyFont="1" applyFill="1" applyBorder="1" applyProtection="1"/>
    <xf numFmtId="0" fontId="17" fillId="8" borderId="1" xfId="3" applyFont="1" applyFill="1" applyBorder="1" applyProtection="1"/>
    <xf numFmtId="0" fontId="17" fillId="8" borderId="0" xfId="3" applyFont="1" applyFill="1" applyBorder="1" applyProtection="1"/>
    <xf numFmtId="49" fontId="14" fillId="8" borderId="7" xfId="3" applyNumberFormat="1" applyFont="1" applyFill="1" applyBorder="1" applyAlignment="1" applyProtection="1">
      <alignment horizontal="left"/>
    </xf>
    <xf numFmtId="0" fontId="7" fillId="8" borderId="1" xfId="3" applyFont="1" applyFill="1" applyBorder="1" applyProtection="1"/>
    <xf numFmtId="167" fontId="14" fillId="2" borderId="8" xfId="3" applyNumberFormat="1" applyFont="1" applyFill="1" applyBorder="1" applyAlignment="1" applyProtection="1">
      <alignment horizontal="center" wrapText="1"/>
    </xf>
    <xf numFmtId="167" fontId="15" fillId="2" borderId="8" xfId="3" applyNumberFormat="1" applyFont="1" applyFill="1" applyBorder="1" applyAlignment="1" applyProtection="1">
      <alignment horizontal="center" wrapText="1"/>
    </xf>
    <xf numFmtId="0" fontId="7" fillId="4" borderId="39" xfId="3" applyFont="1" applyFill="1" applyBorder="1" applyProtection="1"/>
    <xf numFmtId="49" fontId="14" fillId="4" borderId="32" xfId="3" applyNumberFormat="1" applyFont="1" applyFill="1" applyBorder="1" applyAlignment="1" applyProtection="1">
      <alignment horizontal="center"/>
    </xf>
    <xf numFmtId="167" fontId="14" fillId="2" borderId="14" xfId="3" applyNumberFormat="1" applyFont="1" applyFill="1" applyBorder="1" applyProtection="1"/>
    <xf numFmtId="167" fontId="14" fillId="2" borderId="16" xfId="3" applyNumberFormat="1" applyFont="1" applyFill="1" applyBorder="1" applyProtection="1"/>
    <xf numFmtId="0" fontId="7" fillId="4" borderId="0" xfId="3" applyFont="1" applyFill="1" applyBorder="1" applyProtection="1"/>
    <xf numFmtId="44" fontId="27" fillId="4" borderId="0" xfId="1" applyFont="1" applyFill="1" applyBorder="1" applyProtection="1"/>
    <xf numFmtId="0" fontId="7" fillId="4" borderId="15" xfId="3" applyFont="1" applyFill="1" applyBorder="1" applyProtection="1"/>
    <xf numFmtId="0" fontId="1" fillId="4" borderId="14" xfId="3" applyFont="1" applyFill="1" applyBorder="1" applyProtection="1"/>
    <xf numFmtId="0" fontId="14" fillId="2" borderId="0" xfId="3" applyFont="1" applyFill="1" applyBorder="1" applyAlignment="1" applyProtection="1">
      <alignment horizontal="right"/>
    </xf>
    <xf numFmtId="0" fontId="33" fillId="4" borderId="4" xfId="0" applyFont="1" applyFill="1" applyBorder="1" applyProtection="1"/>
    <xf numFmtId="0" fontId="34"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34" fillId="4" borderId="6" xfId="0" applyFont="1" applyFill="1" applyBorder="1" applyProtection="1"/>
    <xf numFmtId="0" fontId="0" fillId="4" borderId="16" xfId="0" applyFont="1" applyFill="1" applyBorder="1" applyProtection="1"/>
    <xf numFmtId="0" fontId="0" fillId="4" borderId="35" xfId="0" applyFill="1" applyBorder="1" applyProtection="1"/>
    <xf numFmtId="0" fontId="0" fillId="4" borderId="42" xfId="0" applyFill="1" applyBorder="1" applyProtection="1"/>
    <xf numFmtId="0" fontId="12" fillId="2" borderId="34" xfId="0" applyFont="1" applyFill="1" applyBorder="1" applyProtection="1"/>
    <xf numFmtId="0" fontId="12" fillId="2" borderId="34" xfId="0" applyFont="1" applyFill="1" applyBorder="1" applyAlignment="1" applyProtection="1">
      <alignment horizontal="right"/>
    </xf>
    <xf numFmtId="44" fontId="1" fillId="4" borderId="85" xfId="1" applyFont="1" applyFill="1" applyBorder="1" applyProtection="1"/>
    <xf numFmtId="44" fontId="0" fillId="0" borderId="47" xfId="1" applyFont="1" applyBorder="1" applyProtection="1"/>
    <xf numFmtId="0" fontId="13" fillId="2" borderId="20" xfId="0" applyFont="1" applyFill="1" applyBorder="1" applyProtection="1"/>
    <xf numFmtId="0" fontId="10" fillId="2" borderId="10" xfId="0" applyFont="1" applyFill="1" applyBorder="1" applyProtection="1"/>
    <xf numFmtId="44" fontId="10" fillId="2" borderId="10" xfId="1" applyFont="1" applyFill="1" applyBorder="1" applyProtection="1"/>
    <xf numFmtId="44" fontId="11" fillId="2" borderId="38" xfId="1" applyFont="1" applyFill="1" applyBorder="1" applyProtection="1"/>
    <xf numFmtId="44" fontId="11" fillId="2" borderId="46" xfId="1" applyFont="1" applyFill="1" applyBorder="1" applyProtection="1"/>
    <xf numFmtId="44" fontId="3" fillId="4" borderId="35" xfId="1" applyFont="1" applyFill="1" applyBorder="1" applyProtection="1"/>
    <xf numFmtId="44" fontId="0" fillId="4" borderId="35" xfId="1" applyFont="1" applyFill="1" applyBorder="1" applyProtection="1"/>
    <xf numFmtId="44" fontId="0" fillId="4" borderId="42" xfId="1" applyFont="1" applyFill="1" applyBorder="1" applyProtection="1"/>
    <xf numFmtId="0" fontId="4" fillId="4" borderId="15" xfId="0" applyFont="1" applyFill="1" applyBorder="1" applyProtection="1"/>
    <xf numFmtId="44" fontId="4" fillId="4" borderId="15" xfId="1" applyFont="1" applyFill="1" applyBorder="1" applyProtection="1"/>
    <xf numFmtId="0" fontId="0" fillId="0" borderId="31" xfId="0" applyBorder="1" applyProtection="1"/>
    <xf numFmtId="44" fontId="4" fillId="0" borderId="31" xfId="0" applyNumberFormat="1" applyFont="1" applyBorder="1" applyProtection="1"/>
    <xf numFmtId="0" fontId="0" fillId="0" borderId="35" xfId="0" applyBorder="1" applyProtection="1"/>
    <xf numFmtId="0" fontId="0" fillId="0" borderId="42" xfId="0" applyBorder="1" applyProtection="1"/>
    <xf numFmtId="0" fontId="33" fillId="2" borderId="26" xfId="0" applyFont="1" applyFill="1" applyBorder="1" applyProtection="1"/>
    <xf numFmtId="0" fontId="33" fillId="2" borderId="28" xfId="0" applyFont="1" applyFill="1" applyBorder="1" applyProtection="1"/>
    <xf numFmtId="44" fontId="33" fillId="2" borderId="28" xfId="1" applyFont="1" applyFill="1" applyBorder="1" applyProtection="1"/>
    <xf numFmtId="44" fontId="33" fillId="2" borderId="48" xfId="1" applyFont="1" applyFill="1" applyBorder="1" applyProtection="1"/>
    <xf numFmtId="0" fontId="0" fillId="4" borderId="6" xfId="0" applyFill="1" applyBorder="1" applyProtection="1"/>
    <xf numFmtId="0" fontId="4" fillId="2" borderId="20" xfId="0" applyFont="1" applyFill="1" applyBorder="1" applyProtection="1"/>
    <xf numFmtId="0" fontId="0" fillId="2" borderId="10" xfId="0" applyFill="1" applyBorder="1" applyProtection="1"/>
    <xf numFmtId="44" fontId="0" fillId="2" borderId="38" xfId="0" applyNumberFormat="1" applyFill="1" applyBorder="1" applyProtection="1"/>
    <xf numFmtId="44" fontId="0" fillId="2" borderId="49" xfId="1" applyFont="1" applyFill="1" applyBorder="1" applyProtection="1"/>
    <xf numFmtId="0" fontId="4" fillId="2" borderId="26" xfId="0" applyFont="1" applyFill="1" applyBorder="1" applyProtection="1"/>
    <xf numFmtId="0" fontId="4" fillId="2" borderId="28" xfId="0" applyFont="1" applyFill="1" applyBorder="1" applyProtection="1"/>
    <xf numFmtId="44" fontId="4" fillId="2" borderId="28" xfId="1" applyFont="1" applyFill="1" applyBorder="1" applyProtection="1"/>
    <xf numFmtId="44" fontId="4" fillId="2" borderId="23" xfId="1" applyFont="1" applyFill="1" applyBorder="1" applyProtection="1"/>
    <xf numFmtId="0" fontId="19" fillId="4" borderId="96" xfId="0" applyFont="1" applyFill="1" applyBorder="1" applyProtection="1"/>
    <xf numFmtId="0" fontId="49" fillId="4" borderId="97" xfId="0" applyFont="1" applyFill="1" applyBorder="1" applyProtection="1"/>
    <xf numFmtId="44" fontId="49" fillId="4" borderId="97" xfId="1"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4" fillId="4" borderId="0" xfId="0" applyFont="1" applyFill="1" applyBorder="1" applyProtection="1"/>
    <xf numFmtId="0" fontId="7" fillId="4" borderId="0" xfId="0" applyFont="1" applyFill="1" applyBorder="1" applyAlignment="1" applyProtection="1">
      <alignment horizontal="center"/>
    </xf>
    <xf numFmtId="0" fontId="7" fillId="4" borderId="76" xfId="0" applyFont="1" applyFill="1" applyBorder="1" applyProtection="1"/>
    <xf numFmtId="0" fontId="13" fillId="4" borderId="9" xfId="0" applyFont="1" applyFill="1" applyBorder="1" applyProtection="1"/>
    <xf numFmtId="0" fontId="7" fillId="4" borderId="9" xfId="0" applyFont="1" applyFill="1" applyBorder="1" applyProtection="1"/>
    <xf numFmtId="0" fontId="7" fillId="4" borderId="74" xfId="0" applyFont="1" applyFill="1" applyBorder="1" applyProtection="1"/>
    <xf numFmtId="0" fontId="14" fillId="8" borderId="10" xfId="0" quotePrefix="1" applyFont="1" applyFill="1" applyBorder="1" applyProtection="1"/>
    <xf numFmtId="0" fontId="7" fillId="8" borderId="10" xfId="0" applyFont="1" applyFill="1" applyBorder="1" applyProtection="1"/>
    <xf numFmtId="0" fontId="7" fillId="8" borderId="77"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4" fillId="4" borderId="4" xfId="0" applyFont="1" applyFill="1" applyBorder="1" applyProtection="1"/>
    <xf numFmtId="0" fontId="13" fillId="4" borderId="27" xfId="0" applyFont="1" applyFill="1" applyBorder="1" applyAlignment="1" applyProtection="1">
      <alignment horizontal="left"/>
    </xf>
    <xf numFmtId="0" fontId="7" fillId="3" borderId="39" xfId="0" applyFont="1" applyFill="1" applyBorder="1" applyAlignment="1" applyProtection="1">
      <alignment horizontal="right"/>
    </xf>
    <xf numFmtId="0" fontId="7" fillId="3" borderId="32" xfId="0" applyFont="1" applyFill="1" applyBorder="1" applyAlignment="1" applyProtection="1">
      <alignment horizontal="right"/>
    </xf>
    <xf numFmtId="0" fontId="0" fillId="4" borderId="2" xfId="0" applyFill="1" applyBorder="1" applyAlignment="1" applyProtection="1">
      <alignment horizontal="left"/>
    </xf>
    <xf numFmtId="10" fontId="0" fillId="4" borderId="2" xfId="2" applyNumberFormat="1" applyFont="1" applyFill="1" applyBorder="1" applyAlignment="1" applyProtection="1">
      <alignment horizontal="center"/>
    </xf>
    <xf numFmtId="10" fontId="0" fillId="0" borderId="2" xfId="2" applyNumberFormat="1" applyFont="1" applyFill="1" applyBorder="1" applyAlignment="1" applyProtection="1">
      <alignment horizontal="center"/>
    </xf>
    <xf numFmtId="0" fontId="3" fillId="7" borderId="2" xfId="0" applyFont="1" applyFill="1" applyBorder="1" applyAlignment="1" applyProtection="1">
      <alignment wrapText="1"/>
    </xf>
    <xf numFmtId="0" fontId="17" fillId="4" borderId="11" xfId="3" applyFont="1" applyFill="1" applyBorder="1" applyProtection="1"/>
    <xf numFmtId="0" fontId="41"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4" fillId="4" borderId="24" xfId="3" applyNumberFormat="1" applyFont="1" applyFill="1" applyBorder="1" applyAlignment="1" applyProtection="1">
      <alignment horizontal="center" vertical="top" wrapText="1"/>
    </xf>
    <xf numFmtId="167" fontId="15" fillId="4" borderId="24" xfId="3" applyNumberFormat="1" applyFont="1" applyFill="1" applyBorder="1" applyAlignment="1" applyProtection="1">
      <alignment horizontal="center" vertical="top" wrapText="1"/>
    </xf>
    <xf numFmtId="0" fontId="26"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5" fillId="4" borderId="19" xfId="3" applyNumberFormat="1" applyFont="1" applyFill="1" applyBorder="1" applyAlignment="1" applyProtection="1">
      <alignment horizontal="center" vertical="top" wrapText="1"/>
    </xf>
    <xf numFmtId="167" fontId="14" fillId="4" borderId="19" xfId="3" applyNumberFormat="1" applyFont="1" applyFill="1" applyBorder="1" applyAlignment="1" applyProtection="1">
      <alignment horizontal="center" vertical="top" wrapText="1"/>
    </xf>
    <xf numFmtId="0" fontId="21" fillId="2" borderId="20" xfId="0" applyFont="1" applyFill="1" applyBorder="1" applyProtection="1"/>
    <xf numFmtId="0" fontId="14"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4" fillId="4" borderId="19" xfId="0" applyFont="1" applyFill="1" applyBorder="1" applyAlignment="1" applyProtection="1">
      <alignment horizontal="right" vertical="top" wrapText="1"/>
    </xf>
    <xf numFmtId="0" fontId="21" fillId="2" borderId="26" xfId="0" applyFont="1" applyFill="1" applyBorder="1" applyProtection="1"/>
    <xf numFmtId="0" fontId="14" fillId="2" borderId="25" xfId="0" applyFont="1" applyFill="1" applyBorder="1" applyProtection="1"/>
    <xf numFmtId="17" fontId="13"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4" fillId="2" borderId="19" xfId="0" applyFont="1" applyFill="1" applyBorder="1" applyAlignment="1" applyProtection="1">
      <alignment horizontal="right"/>
    </xf>
    <xf numFmtId="0" fontId="7" fillId="4" borderId="33"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4" fillId="4" borderId="8" xfId="0" applyNumberFormat="1" applyFont="1" applyFill="1" applyBorder="1" applyProtection="1"/>
    <xf numFmtId="0" fontId="7" fillId="4" borderId="5" xfId="0" applyFont="1" applyFill="1" applyBorder="1" applyProtection="1"/>
    <xf numFmtId="0" fontId="13" fillId="2" borderId="33" xfId="0" applyFont="1" applyFill="1" applyBorder="1" applyProtection="1"/>
    <xf numFmtId="0" fontId="14" fillId="2" borderId="29" xfId="0" applyFont="1" applyFill="1" applyBorder="1" applyProtection="1"/>
    <xf numFmtId="2" fontId="14" fillId="2" borderId="30" xfId="0" applyNumberFormat="1" applyFont="1" applyFill="1" applyBorder="1" applyProtection="1"/>
    <xf numFmtId="0" fontId="14" fillId="2" borderId="30" xfId="0" applyFont="1" applyFill="1" applyBorder="1" applyAlignment="1" applyProtection="1">
      <alignment horizontal="right"/>
    </xf>
    <xf numFmtId="0" fontId="7" fillId="2" borderId="0" xfId="0" applyFont="1" applyFill="1" applyBorder="1" applyProtection="1"/>
    <xf numFmtId="0" fontId="13" fillId="2" borderId="0" xfId="0" applyFont="1" applyFill="1" applyBorder="1" applyAlignment="1" applyProtection="1">
      <alignment horizontal="right"/>
    </xf>
    <xf numFmtId="0" fontId="7" fillId="2" borderId="5" xfId="0" applyFont="1" applyFill="1" applyBorder="1" applyProtection="1"/>
    <xf numFmtId="0" fontId="14" fillId="2" borderId="7" xfId="0" applyFont="1" applyFill="1" applyBorder="1" applyProtection="1"/>
    <xf numFmtId="0" fontId="13" fillId="2" borderId="17" xfId="0" applyFont="1" applyFill="1" applyBorder="1" applyAlignment="1" applyProtection="1">
      <alignment horizontal="right"/>
    </xf>
    <xf numFmtId="0" fontId="7" fillId="2" borderId="8" xfId="0" applyFont="1" applyFill="1" applyBorder="1" applyProtection="1"/>
    <xf numFmtId="0" fontId="14" fillId="2" borderId="0" xfId="0" applyFont="1" applyFill="1" applyBorder="1" applyProtection="1"/>
    <xf numFmtId="0" fontId="14" fillId="2" borderId="73" xfId="0" applyFont="1" applyFill="1" applyBorder="1" applyProtection="1"/>
    <xf numFmtId="0" fontId="14" fillId="2" borderId="6" xfId="0" applyFont="1" applyFill="1" applyBorder="1" applyProtection="1"/>
    <xf numFmtId="0" fontId="13" fillId="2" borderId="1" xfId="0" applyFont="1" applyFill="1" applyBorder="1" applyAlignment="1" applyProtection="1">
      <alignment horizontal="right"/>
    </xf>
    <xf numFmtId="0" fontId="14" fillId="2" borderId="1" xfId="0" applyFont="1" applyFill="1" applyBorder="1" applyProtection="1"/>
    <xf numFmtId="10" fontId="7" fillId="2" borderId="8" xfId="0" applyNumberFormat="1" applyFont="1" applyFill="1" applyBorder="1" applyProtection="1"/>
    <xf numFmtId="0" fontId="43" fillId="4" borderId="3" xfId="0" applyFont="1" applyFill="1" applyBorder="1" applyProtection="1"/>
    <xf numFmtId="0" fontId="35" fillId="4" borderId="4" xfId="0" applyFont="1" applyFill="1" applyBorder="1" applyProtection="1"/>
    <xf numFmtId="0" fontId="35" fillId="4" borderId="18" xfId="0" applyFont="1" applyFill="1" applyBorder="1" applyProtection="1"/>
    <xf numFmtId="0" fontId="35" fillId="4" borderId="6" xfId="0" applyFont="1" applyFill="1" applyBorder="1" applyProtection="1"/>
    <xf numFmtId="0" fontId="35" fillId="4" borderId="0" xfId="0" applyFont="1" applyFill="1" applyBorder="1" applyProtection="1"/>
    <xf numFmtId="0" fontId="35" fillId="4" borderId="11" xfId="0" applyFont="1" applyFill="1" applyBorder="1" applyProtection="1"/>
    <xf numFmtId="0" fontId="35" fillId="4" borderId="0" xfId="0" applyFont="1" applyFill="1" applyBorder="1" applyAlignment="1" applyProtection="1">
      <alignment horizontal="right" wrapText="1"/>
    </xf>
    <xf numFmtId="0" fontId="35" fillId="4" borderId="7" xfId="0" applyFont="1" applyFill="1" applyBorder="1" applyProtection="1"/>
    <xf numFmtId="0" fontId="35" fillId="4" borderId="1" xfId="0" applyFont="1" applyFill="1" applyBorder="1" applyProtection="1"/>
    <xf numFmtId="10" fontId="35" fillId="4" borderId="0" xfId="0" applyNumberFormat="1" applyFont="1" applyFill="1" applyBorder="1" applyAlignment="1" applyProtection="1">
      <alignment horizontal="right"/>
    </xf>
    <xf numFmtId="0" fontId="35" fillId="4" borderId="0" xfId="0" applyFont="1" applyFill="1" applyBorder="1" applyAlignment="1" applyProtection="1">
      <alignment horizontal="right"/>
    </xf>
    <xf numFmtId="0" fontId="35" fillId="4" borderId="59" xfId="0" applyFont="1" applyFill="1" applyBorder="1" applyProtection="1"/>
    <xf numFmtId="0" fontId="35" fillId="4" borderId="60" xfId="0" applyFont="1" applyFill="1" applyBorder="1" applyProtection="1"/>
    <xf numFmtId="0" fontId="35" fillId="4" borderId="60" xfId="0" applyFont="1" applyFill="1" applyBorder="1" applyAlignment="1" applyProtection="1">
      <alignment horizontal="right"/>
    </xf>
    <xf numFmtId="0" fontId="35" fillId="4" borderId="1" xfId="0" applyFont="1" applyFill="1" applyBorder="1" applyAlignment="1" applyProtection="1">
      <alignment horizontal="right"/>
    </xf>
    <xf numFmtId="0" fontId="35" fillId="4" borderId="17" xfId="0" applyFont="1" applyFill="1" applyBorder="1" applyProtection="1"/>
    <xf numFmtId="2" fontId="7" fillId="0" borderId="0" xfId="0" applyNumberFormat="1" applyFont="1" applyProtection="1">
      <protection locked="0"/>
    </xf>
    <xf numFmtId="0" fontId="21" fillId="4" borderId="0" xfId="0" applyFont="1" applyFill="1" applyBorder="1" applyProtection="1"/>
    <xf numFmtId="0" fontId="24" fillId="4" borderId="0" xfId="0" applyFont="1" applyFill="1" applyBorder="1" applyProtection="1"/>
    <xf numFmtId="0" fontId="14" fillId="2" borderId="14" xfId="0" applyFont="1" applyFill="1" applyBorder="1" applyAlignment="1" applyProtection="1">
      <alignment horizontal="left"/>
    </xf>
    <xf numFmtId="0" fontId="35" fillId="4" borderId="11" xfId="0" applyFont="1" applyFill="1" applyBorder="1" applyAlignment="1" applyProtection="1">
      <alignment horizontal="left" indent="1"/>
    </xf>
    <xf numFmtId="0" fontId="21" fillId="2" borderId="14" xfId="0" applyFont="1" applyFill="1" applyBorder="1" applyAlignment="1" applyProtection="1">
      <alignment horizontal="left"/>
    </xf>
    <xf numFmtId="0" fontId="21" fillId="2" borderId="15" xfId="0" applyFont="1" applyFill="1" applyBorder="1" applyProtection="1"/>
    <xf numFmtId="0" fontId="24" fillId="2" borderId="15" xfId="0" applyFont="1" applyFill="1" applyBorder="1" applyProtection="1"/>
    <xf numFmtId="10" fontId="35" fillId="4" borderId="2" xfId="0" applyNumberFormat="1" applyFont="1" applyFill="1" applyBorder="1" applyProtection="1"/>
    <xf numFmtId="44" fontId="0" fillId="4" borderId="5" xfId="1" applyFont="1" applyFill="1" applyBorder="1" applyProtection="1"/>
    <xf numFmtId="0" fontId="21" fillId="2" borderId="14" xfId="0" applyFont="1" applyFill="1" applyBorder="1" applyProtection="1"/>
    <xf numFmtId="165" fontId="24"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9" fillId="4" borderId="6" xfId="0" applyFont="1" applyFill="1" applyBorder="1" applyProtection="1"/>
    <xf numFmtId="0" fontId="17" fillId="4" borderId="14" xfId="0" applyFont="1" applyFill="1" applyBorder="1" applyProtection="1"/>
    <xf numFmtId="0" fontId="23" fillId="4" borderId="16" xfId="0" applyFont="1" applyFill="1" applyBorder="1" applyProtection="1"/>
    <xf numFmtId="0" fontId="17" fillId="4" borderId="2" xfId="0" applyFont="1" applyFill="1" applyBorder="1" applyAlignment="1" applyProtection="1">
      <alignment horizontal="right"/>
    </xf>
    <xf numFmtId="0" fontId="23" fillId="4" borderId="17" xfId="0" applyFont="1" applyFill="1" applyBorder="1" applyProtection="1"/>
    <xf numFmtId="165" fontId="24" fillId="2" borderId="16" xfId="0" applyNumberFormat="1" applyFont="1" applyFill="1" applyBorder="1" applyProtection="1"/>
    <xf numFmtId="0" fontId="17"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7"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6" fillId="2" borderId="14" xfId="0" applyFont="1" applyFill="1" applyBorder="1" applyAlignment="1" applyProtection="1">
      <alignment horizontal="left"/>
    </xf>
    <xf numFmtId="0" fontId="36" fillId="2" borderId="1" xfId="0" applyFont="1" applyFill="1" applyBorder="1" applyProtection="1"/>
    <xf numFmtId="0" fontId="36" fillId="2" borderId="1" xfId="0" applyFont="1" applyFill="1" applyBorder="1" applyAlignment="1" applyProtection="1">
      <alignment horizontal="right"/>
    </xf>
    <xf numFmtId="0" fontId="13" fillId="2" borderId="14" xfId="0" applyFont="1" applyFill="1" applyBorder="1" applyAlignment="1" applyProtection="1">
      <alignment horizontal="left"/>
    </xf>
    <xf numFmtId="0" fontId="13" fillId="2" borderId="1" xfId="0" applyFont="1" applyFill="1" applyBorder="1" applyProtection="1"/>
    <xf numFmtId="0" fontId="23" fillId="2" borderId="15" xfId="0" applyFont="1" applyFill="1" applyBorder="1" applyProtection="1"/>
    <xf numFmtId="0" fontId="23"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3" fillId="4" borderId="11" xfId="0" applyFont="1" applyFill="1" applyBorder="1" applyProtection="1"/>
    <xf numFmtId="0" fontId="25" fillId="2" borderId="53" xfId="0" applyFont="1" applyFill="1" applyBorder="1" applyProtection="1"/>
    <xf numFmtId="0" fontId="0" fillId="2" borderId="54" xfId="0" applyFont="1" applyFill="1" applyBorder="1" applyProtection="1"/>
    <xf numFmtId="0" fontId="25" fillId="2" borderId="26" xfId="0" applyFont="1" applyFill="1" applyBorder="1" applyProtection="1"/>
    <xf numFmtId="0" fontId="7" fillId="2" borderId="14" xfId="0" applyFont="1" applyFill="1" applyBorder="1" applyProtection="1"/>
    <xf numFmtId="0" fontId="17"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8"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51" fillId="4" borderId="6" xfId="0" applyFont="1" applyFill="1" applyBorder="1" applyProtection="1"/>
    <xf numFmtId="0" fontId="51" fillId="4" borderId="0" xfId="0" applyFont="1" applyFill="1" applyBorder="1" applyProtection="1"/>
    <xf numFmtId="165" fontId="24" fillId="4" borderId="11" xfId="0" applyNumberFormat="1" applyFont="1" applyFill="1" applyBorder="1" applyProtection="1"/>
    <xf numFmtId="0" fontId="35" fillId="4" borderId="0" xfId="0" applyFont="1" applyFill="1" applyBorder="1" applyAlignment="1" applyProtection="1">
      <alignment horizontal="left" indent="1"/>
    </xf>
    <xf numFmtId="0" fontId="21" fillId="4" borderId="6" xfId="0" applyFont="1" applyFill="1" applyBorder="1" applyAlignment="1" applyProtection="1">
      <alignment horizontal="left"/>
    </xf>
    <xf numFmtId="44" fontId="24" fillId="4" borderId="5" xfId="1" applyFont="1" applyFill="1" applyBorder="1" applyProtection="1"/>
    <xf numFmtId="0" fontId="0" fillId="0" borderId="6" xfId="0" applyFont="1" applyBorder="1" applyAlignment="1" applyProtection="1">
      <alignment horizontal="left"/>
    </xf>
    <xf numFmtId="0" fontId="23" fillId="0" borderId="0" xfId="0" applyFont="1" applyBorder="1" applyProtection="1"/>
    <xf numFmtId="44" fontId="23" fillId="0" borderId="11" xfId="1" applyFont="1" applyBorder="1" applyProtection="1"/>
    <xf numFmtId="0" fontId="30" fillId="2" borderId="14" xfId="0" applyFont="1" applyFill="1" applyBorder="1" applyAlignment="1" applyProtection="1">
      <alignment horizontal="left"/>
    </xf>
    <xf numFmtId="44" fontId="24" fillId="2" borderId="16" xfId="1" applyFont="1" applyFill="1" applyBorder="1" applyProtection="1"/>
    <xf numFmtId="44" fontId="23" fillId="4" borderId="0" xfId="1" applyFont="1" applyFill="1" applyBorder="1" applyProtection="1"/>
    <xf numFmtId="0" fontId="24" fillId="4" borderId="6" xfId="0" applyFont="1" applyFill="1" applyBorder="1" applyProtection="1"/>
    <xf numFmtId="0" fontId="17" fillId="4" borderId="0" xfId="0" applyFont="1" applyFill="1" applyBorder="1" applyProtection="1"/>
    <xf numFmtId="0" fontId="17" fillId="0" borderId="14" xfId="0" applyFont="1" applyFill="1" applyBorder="1" applyProtection="1"/>
    <xf numFmtId="0" fontId="17" fillId="4" borderId="15" xfId="0" applyFont="1" applyFill="1" applyBorder="1" applyProtection="1"/>
    <xf numFmtId="10" fontId="23" fillId="4" borderId="15" xfId="0" applyNumberFormat="1" applyFont="1" applyFill="1" applyBorder="1" applyProtection="1"/>
    <xf numFmtId="0" fontId="23" fillId="4" borderId="15" xfId="0" applyFont="1" applyFill="1" applyBorder="1" applyProtection="1"/>
    <xf numFmtId="0" fontId="17" fillId="2" borderId="15" xfId="0" applyFont="1" applyFill="1" applyBorder="1" applyProtection="1"/>
    <xf numFmtId="10" fontId="23" fillId="2" borderId="15" xfId="0" applyNumberFormat="1" applyFont="1" applyFill="1" applyBorder="1" applyProtection="1"/>
    <xf numFmtId="44" fontId="23" fillId="4" borderId="18" xfId="1" applyFont="1" applyFill="1" applyBorder="1" applyProtection="1"/>
    <xf numFmtId="0" fontId="17" fillId="4" borderId="1" xfId="0" applyFont="1" applyFill="1" applyBorder="1" applyProtection="1"/>
    <xf numFmtId="0" fontId="7" fillId="4" borderId="17" xfId="0" applyFont="1" applyFill="1" applyBorder="1" applyAlignment="1" applyProtection="1">
      <alignment horizontal="right"/>
    </xf>
    <xf numFmtId="44" fontId="23" fillId="4" borderId="11" xfId="1" applyFont="1" applyFill="1" applyBorder="1" applyProtection="1"/>
    <xf numFmtId="0" fontId="24" fillId="4" borderId="11" xfId="0" applyFont="1" applyFill="1" applyBorder="1" applyAlignment="1" applyProtection="1">
      <alignment horizontal="center"/>
    </xf>
    <xf numFmtId="0" fontId="7" fillId="0" borderId="2" xfId="0" applyFont="1" applyFill="1" applyBorder="1" applyProtection="1"/>
    <xf numFmtId="10" fontId="23" fillId="4" borderId="6" xfId="0" applyNumberFormat="1" applyFont="1" applyFill="1" applyBorder="1" applyProtection="1"/>
    <xf numFmtId="165" fontId="23" fillId="4" borderId="11" xfId="0" applyNumberFormat="1" applyFont="1" applyFill="1" applyBorder="1" applyProtection="1"/>
    <xf numFmtId="0" fontId="23" fillId="4" borderId="6" xfId="0" applyFont="1" applyFill="1" applyBorder="1" applyProtection="1"/>
    <xf numFmtId="44" fontId="0" fillId="4" borderId="0" xfId="1" applyFont="1" applyFill="1" applyBorder="1" applyProtection="1"/>
    <xf numFmtId="44" fontId="24" fillId="4" borderId="11" xfId="1" applyFont="1" applyFill="1" applyBorder="1" applyAlignment="1" applyProtection="1">
      <alignment horizontal="center"/>
    </xf>
    <xf numFmtId="165" fontId="23"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4" fillId="2" borderId="7" xfId="3" applyNumberFormat="1" applyFont="1" applyFill="1" applyBorder="1" applyAlignment="1" applyProtection="1">
      <alignment horizontal="left"/>
    </xf>
    <xf numFmtId="167" fontId="14" fillId="2" borderId="7" xfId="3" applyNumberFormat="1" applyFont="1" applyFill="1" applyBorder="1" applyAlignment="1" applyProtection="1">
      <alignment horizontal="center" wrapText="1"/>
    </xf>
    <xf numFmtId="167" fontId="42" fillId="2" borderId="57" xfId="3" applyNumberFormat="1" applyFont="1" applyFill="1" applyBorder="1" applyAlignment="1" applyProtection="1">
      <alignment horizontal="center" wrapText="1"/>
    </xf>
    <xf numFmtId="0" fontId="14" fillId="4" borderId="39" xfId="3" applyFont="1" applyFill="1" applyBorder="1" applyProtection="1"/>
    <xf numFmtId="10" fontId="42" fillId="4" borderId="58" xfId="2" applyNumberFormat="1" applyFont="1" applyFill="1" applyBorder="1" applyAlignment="1" applyProtection="1">
      <alignment horizontal="center"/>
    </xf>
    <xf numFmtId="167" fontId="14" fillId="2" borderId="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4" fillId="2" borderId="14" xfId="0" applyFont="1" applyFill="1" applyBorder="1" applyAlignment="1" applyProtection="1">
      <alignment horizontal="center" vertical="top" wrapText="1"/>
    </xf>
    <xf numFmtId="0" fontId="0" fillId="4" borderId="7" xfId="0" applyFill="1" applyBorder="1" applyProtection="1"/>
    <xf numFmtId="9" fontId="0" fillId="4" borderId="1" xfId="0" applyNumberFormat="1" applyFill="1" applyBorder="1" applyProtection="1"/>
    <xf numFmtId="44" fontId="0" fillId="4" borderId="1" xfId="0" applyNumberFormat="1" applyFill="1" applyBorder="1" applyProtection="1"/>
    <xf numFmtId="10" fontId="23"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6" borderId="2" xfId="2" applyNumberFormat="1" applyFont="1" applyFill="1" applyBorder="1" applyProtection="1">
      <protection locked="0"/>
    </xf>
    <xf numFmtId="0" fontId="14" fillId="8" borderId="11" xfId="3" applyFont="1" applyFill="1" applyBorder="1" applyAlignment="1" applyProtection="1">
      <alignment horizontal="right"/>
    </xf>
    <xf numFmtId="167" fontId="7" fillId="3" borderId="14" xfId="3" applyNumberFormat="1" applyFont="1" applyFill="1" applyBorder="1" applyAlignment="1" applyProtection="1">
      <alignment wrapText="1"/>
      <protection locked="0"/>
    </xf>
    <xf numFmtId="0" fontId="0" fillId="0" borderId="0" xfId="0" applyAlignment="1" applyProtection="1">
      <alignment vertical="center"/>
      <protection locked="0"/>
    </xf>
    <xf numFmtId="0" fontId="7" fillId="0" borderId="0" xfId="3" applyFont="1" applyFill="1" applyProtection="1">
      <protection locked="0"/>
    </xf>
    <xf numFmtId="0" fontId="18" fillId="4" borderId="6" xfId="0" applyFont="1" applyFill="1" applyBorder="1" applyProtection="1"/>
    <xf numFmtId="0" fontId="25" fillId="4" borderId="6" xfId="0" applyFont="1" applyFill="1" applyBorder="1" applyProtection="1"/>
    <xf numFmtId="0" fontId="7" fillId="4" borderId="24" xfId="0" applyFont="1" applyFill="1" applyBorder="1" applyAlignment="1" applyProtection="1">
      <alignment horizontal="center"/>
    </xf>
    <xf numFmtId="0" fontId="59" fillId="4" borderId="0" xfId="3" applyFont="1" applyFill="1" applyBorder="1" applyProtection="1"/>
    <xf numFmtId="0" fontId="2" fillId="4" borderId="0" xfId="3" applyFont="1" applyFill="1" applyBorder="1" applyProtection="1"/>
    <xf numFmtId="0" fontId="17" fillId="2" borderId="15" xfId="3" applyFont="1" applyFill="1" applyBorder="1" applyProtection="1"/>
    <xf numFmtId="0" fontId="17" fillId="2" borderId="16" xfId="3" applyFont="1" applyFill="1" applyBorder="1" applyProtection="1"/>
    <xf numFmtId="0" fontId="2" fillId="4" borderId="11" xfId="3" applyFont="1" applyFill="1" applyBorder="1" applyProtection="1"/>
    <xf numFmtId="0" fontId="9" fillId="4" borderId="7" xfId="0" applyFont="1" applyFill="1" applyBorder="1" applyProtection="1"/>
    <xf numFmtId="0" fontId="59" fillId="4" borderId="6" xfId="3" applyFont="1" applyFill="1" applyBorder="1" applyAlignment="1" applyProtection="1">
      <alignment horizontal="right"/>
    </xf>
    <xf numFmtId="0" fontId="2" fillId="4" borderId="1" xfId="3" applyFont="1" applyFill="1" applyBorder="1" applyProtection="1"/>
    <xf numFmtId="0" fontId="7" fillId="0" borderId="14" xfId="3" applyFont="1" applyFill="1" applyBorder="1" applyProtection="1">
      <protection locked="0"/>
    </xf>
    <xf numFmtId="0" fontId="7" fillId="4" borderId="11" xfId="3" applyFont="1" applyFill="1" applyBorder="1" applyProtection="1"/>
    <xf numFmtId="0" fontId="9" fillId="4" borderId="0" xfId="3" applyFont="1" applyFill="1" applyBorder="1" applyProtection="1"/>
    <xf numFmtId="0" fontId="7" fillId="4" borderId="17" xfId="3" applyFont="1" applyFill="1" applyBorder="1" applyAlignment="1" applyProtection="1">
      <alignment horizontal="right"/>
    </xf>
    <xf numFmtId="0" fontId="7" fillId="0" borderId="2" xfId="1" applyNumberFormat="1" applyFont="1" applyFill="1" applyBorder="1" applyAlignment="1" applyProtection="1">
      <alignment horizontal="center"/>
      <protection locked="0"/>
    </xf>
    <xf numFmtId="0" fontId="7" fillId="0" borderId="7" xfId="3" applyFont="1" applyFill="1" applyBorder="1" applyProtection="1">
      <protection locked="0"/>
    </xf>
    <xf numFmtId="0" fontId="14" fillId="4" borderId="16" xfId="3" applyFont="1" applyFill="1" applyBorder="1" applyAlignment="1" applyProtection="1">
      <alignment horizontal="right"/>
    </xf>
    <xf numFmtId="10" fontId="14" fillId="4" borderId="2" xfId="2" applyNumberFormat="1" applyFont="1" applyFill="1" applyBorder="1" applyAlignment="1" applyProtection="1">
      <alignment horizontal="center"/>
    </xf>
    <xf numFmtId="44" fontId="7" fillId="0" borderId="8" xfId="1" applyFont="1" applyFill="1" applyBorder="1" applyProtection="1"/>
    <xf numFmtId="44" fontId="7" fillId="0" borderId="24" xfId="1" applyFont="1" applyFill="1" applyBorder="1" applyProtection="1"/>
    <xf numFmtId="10" fontId="7" fillId="4" borderId="13" xfId="0" applyNumberFormat="1" applyFont="1" applyFill="1" applyBorder="1" applyProtection="1"/>
    <xf numFmtId="0" fontId="0" fillId="4" borderId="20" xfId="0" applyFill="1" applyBorder="1" applyProtection="1">
      <protection locked="0"/>
    </xf>
    <xf numFmtId="10" fontId="0" fillId="4" borderId="10" xfId="2" applyNumberFormat="1" applyFont="1" applyFill="1" applyBorder="1" applyProtection="1">
      <protection locked="0"/>
    </xf>
    <xf numFmtId="0" fontId="0" fillId="4" borderId="10" xfId="0" applyFill="1" applyBorder="1" applyProtection="1">
      <protection locked="0"/>
    </xf>
    <xf numFmtId="0" fontId="0" fillId="4" borderId="55" xfId="0" applyFill="1" applyBorder="1" applyProtection="1">
      <protection locked="0"/>
    </xf>
    <xf numFmtId="0" fontId="0" fillId="8" borderId="6" xfId="0" applyFill="1" applyBorder="1" applyProtection="1"/>
    <xf numFmtId="10" fontId="0" fillId="8" borderId="0" xfId="2" applyNumberFormat="1" applyFont="1" applyFill="1" applyBorder="1" applyProtection="1"/>
    <xf numFmtId="0" fontId="0" fillId="8" borderId="0" xfId="0" applyFill="1" applyBorder="1" applyProtection="1"/>
    <xf numFmtId="0" fontId="0" fillId="8" borderId="11" xfId="0" applyFill="1" applyBorder="1" applyProtection="1"/>
    <xf numFmtId="0" fontId="0" fillId="8" borderId="20" xfId="0" applyFill="1" applyBorder="1" applyProtection="1"/>
    <xf numFmtId="10" fontId="0" fillId="8" borderId="10" xfId="2" applyNumberFormat="1" applyFont="1" applyFill="1" applyBorder="1" applyProtection="1"/>
    <xf numFmtId="0" fontId="0" fillId="8" borderId="10" xfId="0" applyFill="1" applyBorder="1" applyProtection="1"/>
    <xf numFmtId="0" fontId="0" fillId="8" borderId="55" xfId="0" applyFill="1" applyBorder="1" applyProtection="1"/>
    <xf numFmtId="0" fontId="14" fillId="7" borderId="2" xfId="0" applyFont="1" applyFill="1" applyBorder="1" applyAlignment="1" applyProtection="1">
      <alignment horizontal="center" vertical="top" wrapText="1"/>
    </xf>
    <xf numFmtId="0" fontId="7" fillId="7" borderId="2" xfId="0" applyFont="1" applyFill="1" applyBorder="1" applyAlignment="1" applyProtection="1">
      <alignment horizontal="center" vertical="top" wrapText="1"/>
    </xf>
    <xf numFmtId="0" fontId="14" fillId="4" borderId="11" xfId="3" applyFont="1" applyFill="1" applyBorder="1" applyAlignment="1" applyProtection="1">
      <alignment horizontal="right"/>
    </xf>
    <xf numFmtId="167" fontId="7" fillId="2" borderId="5" xfId="3" applyNumberFormat="1" applyFont="1" applyFill="1" applyBorder="1" applyAlignment="1" applyProtection="1">
      <alignment horizontal="center" wrapText="1"/>
    </xf>
    <xf numFmtId="1" fontId="7" fillId="2" borderId="8" xfId="3" applyNumberFormat="1" applyFont="1" applyFill="1" applyBorder="1" applyAlignment="1" applyProtection="1">
      <alignment horizontal="center" wrapText="1"/>
    </xf>
    <xf numFmtId="0" fontId="7" fillId="2" borderId="8" xfId="3" applyNumberFormat="1" applyFont="1" applyFill="1" applyBorder="1" applyAlignment="1" applyProtection="1">
      <alignment horizontal="center" wrapText="1"/>
    </xf>
    <xf numFmtId="0" fontId="9" fillId="4" borderId="0" xfId="3" applyFont="1" applyFill="1" applyBorder="1" applyAlignment="1" applyProtection="1">
      <alignment horizontal="right"/>
    </xf>
    <xf numFmtId="0" fontId="0" fillId="3" borderId="2" xfId="0" applyFill="1" applyBorder="1" applyAlignment="1" applyProtection="1">
      <alignment horizontal="left"/>
      <protection locked="0"/>
    </xf>
    <xf numFmtId="0" fontId="0" fillId="4" borderId="4" xfId="0" applyFill="1" applyBorder="1" applyProtection="1">
      <protection locked="0"/>
    </xf>
    <xf numFmtId="0" fontId="14" fillId="4" borderId="33" xfId="0" applyFont="1" applyFill="1" applyBorder="1" applyAlignment="1" applyProtection="1">
      <alignment vertical="center"/>
      <protection locked="0"/>
    </xf>
    <xf numFmtId="167" fontId="7" fillId="4" borderId="29" xfId="3" applyNumberFormat="1" applyFont="1" applyFill="1" applyBorder="1" applyProtection="1">
      <protection locked="0"/>
    </xf>
    <xf numFmtId="44" fontId="7" fillId="4" borderId="29" xfId="1" applyFont="1" applyFill="1" applyBorder="1" applyProtection="1">
      <protection locked="0"/>
    </xf>
    <xf numFmtId="44" fontId="27" fillId="4" borderId="29" xfId="1" applyFont="1" applyFill="1" applyBorder="1" applyProtection="1"/>
    <xf numFmtId="44" fontId="7" fillId="4" borderId="72" xfId="1" applyFont="1" applyFill="1" applyBorder="1" applyProtection="1"/>
    <xf numFmtId="0" fontId="7" fillId="2" borderId="23" xfId="3" applyFont="1" applyFill="1" applyBorder="1" applyAlignment="1" applyProtection="1">
      <alignment horizontal="center"/>
    </xf>
    <xf numFmtId="44" fontId="7" fillId="0" borderId="2" xfId="1" applyFont="1" applyFill="1" applyBorder="1" applyProtection="1"/>
    <xf numFmtId="49" fontId="14" fillId="2" borderId="6" xfId="3" applyNumberFormat="1" applyFont="1" applyFill="1" applyBorder="1" applyAlignment="1" applyProtection="1">
      <alignment horizontal="left"/>
    </xf>
    <xf numFmtId="167" fontId="14" fillId="2" borderId="6" xfId="3" applyNumberFormat="1" applyFont="1" applyFill="1" applyBorder="1" applyAlignment="1" applyProtection="1">
      <alignment horizontal="center" wrapText="1"/>
    </xf>
    <xf numFmtId="167" fontId="42" fillId="2" borderId="99" xfId="3" applyNumberFormat="1" applyFont="1" applyFill="1" applyBorder="1" applyAlignment="1" applyProtection="1">
      <alignment horizontal="center" wrapText="1"/>
    </xf>
    <xf numFmtId="167" fontId="14" fillId="2" borderId="5" xfId="3" applyNumberFormat="1" applyFont="1" applyFill="1" applyBorder="1" applyAlignment="1" applyProtection="1">
      <alignment horizontal="center" wrapText="1"/>
    </xf>
    <xf numFmtId="0" fontId="18" fillId="4" borderId="20" xfId="0" applyFont="1" applyFill="1" applyBorder="1" applyProtection="1">
      <protection locked="0"/>
    </xf>
    <xf numFmtId="0" fontId="17" fillId="4" borderId="87" xfId="3" applyFont="1" applyFill="1" applyBorder="1" applyProtection="1">
      <protection locked="0"/>
    </xf>
    <xf numFmtId="0" fontId="17" fillId="4" borderId="10" xfId="3" applyFont="1" applyFill="1" applyBorder="1" applyProtection="1">
      <protection locked="0"/>
    </xf>
    <xf numFmtId="0" fontId="9" fillId="0" borderId="10" xfId="0" applyFont="1" applyBorder="1" applyProtection="1"/>
    <xf numFmtId="167" fontId="15" fillId="2" borderId="5" xfId="3" applyNumberFormat="1" applyFont="1" applyFill="1" applyBorder="1" applyAlignment="1" applyProtection="1">
      <alignment horizontal="center" wrapText="1"/>
    </xf>
    <xf numFmtId="171" fontId="17" fillId="0" borderId="0" xfId="2" applyNumberFormat="1" applyFont="1" applyFill="1" applyProtection="1">
      <protection locked="0"/>
    </xf>
    <xf numFmtId="0" fontId="17" fillId="0" borderId="16" xfId="3" applyFont="1" applyFill="1" applyBorder="1" applyProtection="1">
      <protection locked="0"/>
    </xf>
    <xf numFmtId="0" fontId="7" fillId="0" borderId="16" xfId="0" applyFont="1" applyBorder="1" applyProtection="1"/>
    <xf numFmtId="0" fontId="7" fillId="0" borderId="24" xfId="0" applyFont="1" applyBorder="1" applyAlignment="1" applyProtection="1">
      <alignment horizontal="center" wrapText="1"/>
    </xf>
    <xf numFmtId="0" fontId="7" fillId="0" borderId="8" xfId="0" applyFont="1" applyBorder="1" applyAlignment="1" applyProtection="1">
      <alignment horizontal="center"/>
    </xf>
    <xf numFmtId="10" fontId="7" fillId="0" borderId="8" xfId="2" applyNumberFormat="1" applyFont="1" applyBorder="1" applyAlignment="1" applyProtection="1">
      <alignment horizontal="center"/>
    </xf>
    <xf numFmtId="0" fontId="7" fillId="0" borderId="2" xfId="0" applyFont="1" applyBorder="1" applyAlignment="1" applyProtection="1">
      <alignment horizontal="center"/>
    </xf>
    <xf numFmtId="10" fontId="7" fillId="0" borderId="2" xfId="2" applyNumberFormat="1" applyFont="1" applyBorder="1" applyAlignment="1" applyProtection="1">
      <alignment horizontal="center"/>
    </xf>
    <xf numFmtId="0" fontId="7" fillId="0" borderId="24" xfId="0" applyFont="1" applyBorder="1" applyAlignment="1" applyProtection="1">
      <alignment horizontal="center"/>
    </xf>
    <xf numFmtId="0" fontId="7" fillId="0" borderId="19" xfId="0" applyFont="1" applyBorder="1" applyAlignment="1" applyProtection="1">
      <alignment horizontal="center"/>
    </xf>
    <xf numFmtId="10" fontId="7" fillId="0" borderId="24" xfId="2" applyNumberFormat="1" applyFont="1" applyBorder="1" applyAlignment="1" applyProtection="1">
      <alignment horizontal="center"/>
    </xf>
    <xf numFmtId="0" fontId="7" fillId="0" borderId="25" xfId="0" applyFont="1" applyBorder="1" applyAlignment="1" applyProtection="1">
      <alignment horizontal="center"/>
    </xf>
    <xf numFmtId="10" fontId="7" fillId="0" borderId="25" xfId="2" applyNumberFormat="1" applyFont="1" applyBorder="1" applyAlignment="1" applyProtection="1">
      <alignment horizontal="center"/>
    </xf>
    <xf numFmtId="44" fontId="12" fillId="4" borderId="12" xfId="0" applyNumberFormat="1" applyFont="1" applyFill="1" applyBorder="1" applyAlignment="1" applyProtection="1">
      <alignment horizontal="right"/>
    </xf>
    <xf numFmtId="0" fontId="0" fillId="0" borderId="10" xfId="0" applyBorder="1" applyProtection="1">
      <protection locked="0"/>
    </xf>
    <xf numFmtId="0" fontId="0" fillId="4" borderId="3" xfId="0" applyFont="1" applyFill="1" applyBorder="1" applyAlignment="1" applyProtection="1">
      <alignment horizontal="left"/>
    </xf>
    <xf numFmtId="0" fontId="0" fillId="3" borderId="3" xfId="0" applyFont="1" applyFill="1" applyBorder="1" applyProtection="1"/>
    <xf numFmtId="0" fontId="0" fillId="3" borderId="18" xfId="0" applyFont="1" applyFill="1" applyBorder="1" applyProtection="1"/>
    <xf numFmtId="0" fontId="17" fillId="0" borderId="6" xfId="3" applyFont="1" applyFill="1" applyBorder="1" applyProtection="1">
      <protection locked="0"/>
    </xf>
    <xf numFmtId="0" fontId="17" fillId="4" borderId="18" xfId="3" applyFont="1" applyFill="1" applyBorder="1" applyProtection="1">
      <protection locked="0"/>
    </xf>
    <xf numFmtId="0" fontId="13" fillId="2" borderId="10" xfId="3" applyFont="1" applyFill="1" applyBorder="1" applyAlignment="1" applyProtection="1">
      <alignment horizontal="right"/>
    </xf>
    <xf numFmtId="44" fontId="13" fillId="2" borderId="24" xfId="1" applyFont="1" applyFill="1" applyBorder="1" applyProtection="1"/>
    <xf numFmtId="0" fontId="14" fillId="2" borderId="3" xfId="3" applyFont="1" applyFill="1" applyBorder="1" applyAlignment="1" applyProtection="1">
      <alignment horizontal="left"/>
    </xf>
    <xf numFmtId="0" fontId="14" fillId="2" borderId="4" xfId="3" applyFont="1" applyFill="1" applyBorder="1" applyAlignment="1" applyProtection="1">
      <alignment horizontal="right"/>
    </xf>
    <xf numFmtId="0" fontId="13" fillId="2" borderId="20" xfId="3" applyFont="1" applyFill="1" applyBorder="1" applyAlignment="1" applyProtection="1">
      <alignment horizontal="left"/>
    </xf>
    <xf numFmtId="44" fontId="48" fillId="2" borderId="24" xfId="1" applyFont="1" applyFill="1" applyBorder="1" applyProtection="1"/>
    <xf numFmtId="0" fontId="7" fillId="4" borderId="7" xfId="3" applyFont="1" applyFill="1" applyBorder="1" applyProtection="1"/>
    <xf numFmtId="0" fontId="7" fillId="4" borderId="1" xfId="3" applyFont="1" applyFill="1" applyBorder="1" applyProtection="1"/>
    <xf numFmtId="10" fontId="7" fillId="4" borderId="8" xfId="1" applyNumberFormat="1" applyFont="1" applyFill="1" applyBorder="1" applyProtection="1"/>
    <xf numFmtId="0" fontId="7" fillId="4" borderId="27" xfId="3" applyFont="1" applyFill="1" applyBorder="1" applyProtection="1"/>
    <xf numFmtId="44" fontId="7" fillId="4" borderId="27" xfId="1" applyFont="1" applyFill="1" applyBorder="1" applyProtection="1"/>
    <xf numFmtId="44" fontId="27" fillId="4" borderId="27" xfId="1" applyFont="1" applyFill="1" applyBorder="1" applyProtection="1"/>
    <xf numFmtId="44" fontId="7" fillId="4" borderId="32" xfId="1" applyFont="1" applyFill="1" applyBorder="1" applyProtection="1"/>
    <xf numFmtId="0" fontId="13" fillId="2" borderId="3" xfId="0" applyFont="1" applyFill="1" applyBorder="1"/>
    <xf numFmtId="0" fontId="7" fillId="2" borderId="6" xfId="0" applyFont="1" applyFill="1" applyBorder="1"/>
    <xf numFmtId="0" fontId="14" fillId="2" borderId="5" xfId="0" applyFont="1" applyFill="1" applyBorder="1" applyAlignment="1">
      <alignment horizontal="right" vertical="center"/>
    </xf>
    <xf numFmtId="0" fontId="7" fillId="4" borderId="5" xfId="0" applyFont="1" applyFill="1" applyBorder="1" applyAlignment="1">
      <alignment horizontal="right" vertical="center"/>
    </xf>
    <xf numFmtId="0" fontId="14" fillId="4" borderId="5" xfId="0" applyFont="1" applyFill="1" applyBorder="1" applyAlignment="1">
      <alignment horizontal="right" vertical="center"/>
    </xf>
    <xf numFmtId="44" fontId="14" fillId="2" borderId="8" xfId="1" applyFont="1" applyFill="1" applyBorder="1" applyAlignment="1" applyProtection="1">
      <alignment horizontal="right" vertical="center"/>
    </xf>
    <xf numFmtId="0" fontId="7" fillId="4" borderId="8" xfId="0" applyFont="1" applyFill="1" applyBorder="1" applyAlignment="1">
      <alignment horizontal="right" vertical="center"/>
    </xf>
    <xf numFmtId="44" fontId="14" fillId="4" borderId="8" xfId="1" applyFont="1" applyFill="1" applyBorder="1" applyAlignment="1" applyProtection="1">
      <alignment horizontal="right" vertical="center"/>
    </xf>
    <xf numFmtId="0" fontId="13" fillId="2" borderId="6" xfId="0" applyFont="1" applyFill="1" applyBorder="1"/>
    <xf numFmtId="0" fontId="13" fillId="2" borderId="18" xfId="0" applyFont="1" applyFill="1" applyBorder="1"/>
    <xf numFmtId="0" fontId="7" fillId="2" borderId="11" xfId="0" applyFont="1" applyFill="1" applyBorder="1"/>
    <xf numFmtId="0" fontId="7" fillId="2" borderId="7" xfId="0" applyFont="1" applyFill="1" applyBorder="1"/>
    <xf numFmtId="0" fontId="7" fillId="2" borderId="17" xfId="0" applyFont="1" applyFill="1" applyBorder="1"/>
    <xf numFmtId="0" fontId="13" fillId="2" borderId="4" xfId="0" applyFont="1" applyFill="1" applyBorder="1"/>
    <xf numFmtId="0" fontId="13" fillId="2" borderId="0" xfId="0" applyFont="1" applyFill="1"/>
    <xf numFmtId="0" fontId="14" fillId="2" borderId="6" xfId="0" applyFont="1" applyFill="1" applyBorder="1"/>
    <xf numFmtId="0" fontId="14" fillId="2" borderId="0" xfId="0" applyFont="1" applyFill="1"/>
    <xf numFmtId="0" fontId="7" fillId="8" borderId="26" xfId="0" applyFont="1" applyFill="1" applyBorder="1" applyAlignment="1" applyProtection="1">
      <alignment horizontal="left" wrapText="1"/>
    </xf>
    <xf numFmtId="0" fontId="7" fillId="0" borderId="28" xfId="0" applyFont="1" applyBorder="1" applyAlignment="1" applyProtection="1"/>
    <xf numFmtId="0" fontId="7" fillId="0" borderId="40" xfId="0" applyFont="1" applyBorder="1" applyAlignment="1" applyProtection="1"/>
    <xf numFmtId="44" fontId="13" fillId="4" borderId="2" xfId="0" applyNumberFormat="1" applyFont="1" applyFill="1" applyBorder="1" applyAlignment="1">
      <alignment horizontal="right" vertical="center"/>
    </xf>
    <xf numFmtId="0" fontId="7" fillId="0" borderId="101" xfId="0" applyFont="1" applyBorder="1" applyAlignment="1">
      <alignment horizontal="right" vertical="center"/>
    </xf>
    <xf numFmtId="44" fontId="13" fillId="2" borderId="2" xfId="0" applyNumberFormat="1" applyFont="1" applyFill="1" applyBorder="1" applyAlignment="1">
      <alignment horizontal="right" vertical="center"/>
    </xf>
    <xf numFmtId="0" fontId="7" fillId="2" borderId="101" xfId="0" applyFont="1" applyFill="1" applyBorder="1" applyAlignment="1">
      <alignment horizontal="right" vertical="center"/>
    </xf>
    <xf numFmtId="44" fontId="12" fillId="4" borderId="2" xfId="0" applyNumberFormat="1" applyFont="1" applyFill="1" applyBorder="1" applyAlignment="1">
      <alignment horizontal="right" vertical="center"/>
    </xf>
    <xf numFmtId="44" fontId="13" fillId="4" borderId="65" xfId="0" applyNumberFormat="1" applyFont="1" applyFill="1" applyBorder="1" applyAlignment="1" applyProtection="1">
      <alignment horizontal="right" vertical="center"/>
    </xf>
    <xf numFmtId="0" fontId="7" fillId="0" borderId="67" xfId="0" applyFont="1" applyBorder="1" applyAlignment="1" applyProtection="1">
      <alignment horizontal="right" vertical="center"/>
    </xf>
    <xf numFmtId="44" fontId="13" fillId="2" borderId="66" xfId="0" applyNumberFormat="1" applyFont="1" applyFill="1" applyBorder="1" applyAlignment="1" applyProtection="1">
      <alignment horizontal="right" vertical="center"/>
    </xf>
    <xf numFmtId="0" fontId="14" fillId="2" borderId="68" xfId="0" applyFont="1" applyFill="1" applyBorder="1" applyAlignment="1" applyProtection="1">
      <alignment horizontal="right" vertical="center"/>
    </xf>
    <xf numFmtId="44" fontId="13" fillId="2" borderId="61" xfId="0" applyNumberFormat="1" applyFont="1" applyFill="1" applyBorder="1" applyAlignment="1" applyProtection="1">
      <alignment horizontal="right" vertical="center"/>
    </xf>
    <xf numFmtId="0" fontId="7" fillId="2" borderId="63" xfId="0" applyFont="1" applyFill="1" applyBorder="1" applyAlignment="1" applyProtection="1">
      <alignment horizontal="right" vertical="center"/>
    </xf>
    <xf numFmtId="44" fontId="13" fillId="4" borderId="61" xfId="0" applyNumberFormat="1" applyFont="1" applyFill="1" applyBorder="1" applyAlignment="1" applyProtection="1">
      <alignment horizontal="right" vertical="center"/>
    </xf>
    <xf numFmtId="0" fontId="7" fillId="0" borderId="63" xfId="0" applyFont="1" applyBorder="1" applyAlignment="1" applyProtection="1">
      <alignment horizontal="right" vertical="center"/>
    </xf>
    <xf numFmtId="44" fontId="12" fillId="4" borderId="62" xfId="0" applyNumberFormat="1" applyFont="1" applyFill="1" applyBorder="1" applyAlignment="1" applyProtection="1">
      <alignment horizontal="right" vertical="center"/>
    </xf>
    <xf numFmtId="0" fontId="7" fillId="0" borderId="64" xfId="0" applyFont="1" applyBorder="1" applyAlignment="1" applyProtection="1">
      <alignment horizontal="right" vertical="center"/>
    </xf>
    <xf numFmtId="44" fontId="13" fillId="2" borderId="13" xfId="0" applyNumberFormat="1" applyFont="1" applyFill="1" applyBorder="1" applyAlignment="1">
      <alignment horizontal="right" vertical="center"/>
    </xf>
    <xf numFmtId="0" fontId="7" fillId="2" borderId="100" xfId="0" applyFont="1" applyFill="1" applyBorder="1" applyAlignment="1">
      <alignment horizontal="right" vertical="center"/>
    </xf>
    <xf numFmtId="44" fontId="13" fillId="4" borderId="13" xfId="0" applyNumberFormat="1" applyFont="1" applyFill="1" applyBorder="1" applyAlignment="1">
      <alignment horizontal="right" vertical="center"/>
    </xf>
    <xf numFmtId="0" fontId="7" fillId="4" borderId="100" xfId="0" applyFont="1" applyFill="1" applyBorder="1" applyAlignment="1">
      <alignment horizontal="right" vertical="center"/>
    </xf>
    <xf numFmtId="44" fontId="12" fillId="4" borderId="13" xfId="0" applyNumberFormat="1" applyFont="1" applyFill="1" applyBorder="1" applyAlignment="1">
      <alignment horizontal="right" vertical="center"/>
    </xf>
    <xf numFmtId="0" fontId="7" fillId="8" borderId="26" xfId="0" applyFont="1" applyFill="1" applyBorder="1" applyAlignment="1" applyProtection="1">
      <alignment wrapText="1"/>
    </xf>
    <xf numFmtId="0" fontId="7" fillId="8" borderId="28" xfId="0" applyFont="1" applyFill="1" applyBorder="1" applyAlignment="1" applyProtection="1"/>
    <xf numFmtId="0" fontId="7" fillId="8" borderId="40" xfId="0" applyFont="1" applyFill="1" applyBorder="1" applyAlignment="1" applyProtection="1"/>
    <xf numFmtId="0" fontId="21" fillId="2" borderId="33" xfId="0" applyFont="1" applyFill="1" applyBorder="1" applyAlignment="1" applyProtection="1">
      <alignment wrapText="1"/>
    </xf>
    <xf numFmtId="0" fontId="14" fillId="0" borderId="29" xfId="0" applyFont="1" applyBorder="1" applyAlignment="1" applyProtection="1"/>
    <xf numFmtId="0" fontId="14" fillId="0" borderId="72" xfId="0" applyFont="1" applyBorder="1" applyAlignment="1" applyProtection="1"/>
    <xf numFmtId="0" fontId="36" fillId="4" borderId="39" xfId="0" applyFont="1" applyFill="1" applyBorder="1" applyAlignment="1" applyProtection="1">
      <alignment wrapText="1"/>
    </xf>
    <xf numFmtId="0" fontId="7" fillId="0" borderId="27" xfId="0" applyFont="1" applyBorder="1" applyAlignment="1" applyProtection="1"/>
    <xf numFmtId="0" fontId="7" fillId="0" borderId="32" xfId="0" applyFont="1" applyBorder="1" applyAlignment="1" applyProtection="1"/>
    <xf numFmtId="22" fontId="14" fillId="0" borderId="86" xfId="0" quotePrefix="1" applyNumberFormat="1" applyFont="1" applyFill="1" applyBorder="1" applyAlignment="1" applyProtection="1">
      <alignment wrapText="1"/>
    </xf>
    <xf numFmtId="0" fontId="14" fillId="0" borderId="74" xfId="0" applyFont="1" applyFill="1" applyBorder="1" applyAlignment="1" applyProtection="1"/>
    <xf numFmtId="0" fontId="52" fillId="3" borderId="37" xfId="0" applyFont="1" applyFill="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5" fillId="4" borderId="93" xfId="0" applyFont="1" applyFill="1" applyBorder="1" applyAlignment="1" applyProtection="1">
      <alignment vertical="center"/>
      <protection locked="0"/>
    </xf>
    <xf numFmtId="0" fontId="0" fillId="0" borderId="92" xfId="0" applyBorder="1" applyAlignment="1">
      <alignment vertical="center"/>
    </xf>
    <xf numFmtId="0" fontId="3" fillId="4" borderId="86" xfId="0" applyFont="1" applyFill="1" applyBorder="1" applyAlignment="1" applyProtection="1">
      <alignment vertical="center" wrapText="1"/>
      <protection locked="0"/>
    </xf>
    <xf numFmtId="0" fontId="3" fillId="0" borderId="89" xfId="0" applyFont="1" applyBorder="1" applyAlignment="1">
      <alignment vertical="center" wrapText="1"/>
    </xf>
    <xf numFmtId="0" fontId="3" fillId="0" borderId="87" xfId="0" applyFont="1" applyBorder="1" applyAlignment="1">
      <alignment vertical="center" wrapText="1"/>
    </xf>
    <xf numFmtId="0" fontId="3" fillId="0" borderId="55" xfId="0" applyFont="1" applyBorder="1" applyAlignment="1">
      <alignment vertical="center" wrapText="1"/>
    </xf>
    <xf numFmtId="0" fontId="14" fillId="8" borderId="26" xfId="0" applyFont="1" applyFill="1" applyBorder="1" applyAlignment="1" applyProtection="1">
      <alignment wrapText="1"/>
    </xf>
    <xf numFmtId="0" fontId="14" fillId="0" borderId="86" xfId="0" applyFont="1" applyFill="1" applyBorder="1" applyAlignment="1" applyProtection="1">
      <alignment horizontal="center" vertical="center"/>
    </xf>
    <xf numFmtId="0" fontId="14" fillId="0" borderId="88"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0" fontId="7" fillId="0" borderId="87" xfId="0" applyFont="1" applyBorder="1" applyAlignment="1" applyProtection="1">
      <alignment horizontal="center" vertical="center"/>
    </xf>
    <xf numFmtId="0" fontId="52"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14" fillId="0" borderId="86" xfId="0" quotePrefix="1" applyFont="1" applyFill="1" applyBorder="1" applyAlignment="1" applyProtection="1">
      <alignment wrapText="1"/>
    </xf>
    <xf numFmtId="169" fontId="4" fillId="0" borderId="93" xfId="0" applyNumberFormat="1" applyFont="1" applyFill="1" applyBorder="1" applyAlignment="1" applyProtection="1">
      <alignment horizontal="center" vertical="center"/>
      <protection locked="0"/>
    </xf>
    <xf numFmtId="169" fontId="4" fillId="0" borderId="92" xfId="0" applyNumberFormat="1" applyFont="1" applyFill="1" applyBorder="1" applyAlignment="1" applyProtection="1">
      <alignment horizontal="center" vertical="center"/>
      <protection locked="0"/>
    </xf>
    <xf numFmtId="22" fontId="14" fillId="0" borderId="86" xfId="0" quotePrefix="1" applyNumberFormat="1" applyFont="1" applyFill="1" applyBorder="1" applyAlignment="1" applyProtection="1"/>
    <xf numFmtId="0" fontId="14" fillId="0" borderId="86" xfId="0" applyFont="1" applyFill="1" applyBorder="1" applyAlignment="1" applyProtection="1">
      <alignment wrapText="1"/>
    </xf>
    <xf numFmtId="0" fontId="25" fillId="8" borderId="39" xfId="0" applyFont="1" applyFill="1" applyBorder="1" applyAlignment="1" applyProtection="1">
      <alignment wrapText="1"/>
    </xf>
    <xf numFmtId="0" fontId="0" fillId="8" borderId="32" xfId="0" applyFill="1" applyBorder="1" applyAlignment="1" applyProtection="1"/>
    <xf numFmtId="0" fontId="7" fillId="0" borderId="38" xfId="0" applyFont="1" applyBorder="1" applyAlignment="1" applyProtection="1">
      <alignment horizontal="center" vertical="center"/>
      <protection locked="0"/>
    </xf>
    <xf numFmtId="0" fontId="14" fillId="0" borderId="86"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74" xfId="0" applyFont="1" applyBorder="1" applyAlignment="1" applyProtection="1">
      <alignment horizontal="left" wrapText="1"/>
    </xf>
    <xf numFmtId="0" fontId="17" fillId="4" borderId="86" xfId="3" applyFont="1" applyFill="1" applyBorder="1" applyAlignment="1" applyProtection="1">
      <alignment vertical="top" wrapText="1"/>
      <protection locked="0"/>
    </xf>
    <xf numFmtId="0" fontId="7" fillId="0" borderId="9" xfId="0" applyFont="1" applyBorder="1" applyAlignment="1">
      <alignment vertical="top"/>
    </xf>
    <xf numFmtId="0" fontId="7" fillId="0" borderId="74" xfId="0" applyFont="1" applyBorder="1" applyAlignment="1">
      <alignment vertical="top"/>
    </xf>
    <xf numFmtId="0" fontId="7" fillId="0" borderId="87" xfId="0" applyFont="1" applyBorder="1" applyAlignment="1">
      <alignment vertical="top"/>
    </xf>
    <xf numFmtId="0" fontId="7" fillId="0" borderId="10" xfId="0" applyFont="1" applyBorder="1" applyAlignment="1">
      <alignment vertical="top"/>
    </xf>
    <xf numFmtId="0" fontId="7" fillId="0" borderId="77" xfId="0" applyFont="1" applyBorder="1" applyAlignment="1">
      <alignment vertical="top"/>
    </xf>
    <xf numFmtId="0" fontId="24" fillId="8" borderId="3" xfId="3" applyFont="1" applyFill="1" applyBorder="1" applyAlignment="1" applyProtection="1">
      <alignment vertical="top" wrapText="1"/>
    </xf>
    <xf numFmtId="0" fontId="17" fillId="0" borderId="4" xfId="0" applyFont="1" applyBorder="1" applyAlignment="1">
      <alignment vertical="top"/>
    </xf>
    <xf numFmtId="0" fontId="17" fillId="0" borderId="18" xfId="0" applyFont="1" applyBorder="1" applyAlignment="1">
      <alignment vertical="top"/>
    </xf>
    <xf numFmtId="0" fontId="17" fillId="0" borderId="7" xfId="0" applyFont="1" applyBorder="1" applyAlignment="1">
      <alignment vertical="top"/>
    </xf>
    <xf numFmtId="0" fontId="17" fillId="0" borderId="1" xfId="0" applyFont="1" applyBorder="1" applyAlignment="1">
      <alignment vertical="top"/>
    </xf>
    <xf numFmtId="0" fontId="17" fillId="0" borderId="17" xfId="0" applyFont="1" applyBorder="1" applyAlignment="1">
      <alignment vertical="top"/>
    </xf>
    <xf numFmtId="0" fontId="0" fillId="0" borderId="40" xfId="0" applyBorder="1" applyAlignment="1"/>
    <xf numFmtId="49" fontId="51" fillId="8" borderId="6" xfId="3" applyNumberFormat="1" applyFont="1" applyFill="1" applyBorder="1" applyAlignment="1" applyProtection="1">
      <alignment horizontal="left" wrapText="1"/>
    </xf>
    <xf numFmtId="0" fontId="7" fillId="0" borderId="11"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14" fillId="8" borderId="87" xfId="0" applyFont="1" applyFill="1" applyBorder="1" applyAlignment="1" applyProtection="1">
      <alignment horizontal="right" vertical="center" wrapText="1"/>
    </xf>
    <xf numFmtId="0" fontId="0" fillId="0" borderId="10" xfId="0" applyBorder="1" applyAlignment="1" applyProtection="1"/>
    <xf numFmtId="0" fontId="0" fillId="0" borderId="77" xfId="0" applyBorder="1" applyAlignment="1" applyProtection="1"/>
    <xf numFmtId="0" fontId="7" fillId="4" borderId="86" xfId="0" applyFont="1" applyFill="1" applyBorder="1" applyAlignment="1" applyProtection="1">
      <alignment vertical="center" wrapText="1"/>
    </xf>
    <xf numFmtId="0" fontId="0" fillId="0" borderId="87" xfId="0" applyBorder="1" applyAlignment="1">
      <alignment vertical="center" wrapText="1"/>
    </xf>
    <xf numFmtId="170" fontId="14" fillId="4" borderId="93" xfId="1" applyNumberFormat="1" applyFont="1" applyFill="1" applyBorder="1" applyAlignment="1" applyProtection="1">
      <alignment horizontal="center" vertical="center"/>
    </xf>
    <xf numFmtId="0" fontId="0" fillId="4" borderId="92" xfId="0" applyFill="1" applyBorder="1" applyAlignment="1">
      <alignment horizontal="center" vertical="center"/>
    </xf>
    <xf numFmtId="169" fontId="33" fillId="2" borderId="50" xfId="1" applyNumberFormat="1" applyFont="1" applyFill="1" applyBorder="1" applyAlignment="1" applyProtection="1">
      <alignment horizontal="center"/>
    </xf>
    <xf numFmtId="169" fontId="0" fillId="0" borderId="40" xfId="1" applyNumberFormat="1" applyFont="1" applyBorder="1" applyAlignment="1" applyProtection="1">
      <alignment horizontal="center"/>
    </xf>
    <xf numFmtId="0" fontId="13" fillId="2" borderId="14" xfId="0" applyFont="1" applyFill="1" applyBorder="1" applyAlignment="1" applyProtection="1">
      <alignment wrapText="1"/>
    </xf>
    <xf numFmtId="0" fontId="0" fillId="0" borderId="15" xfId="0" applyBorder="1" applyAlignment="1" applyProtection="1"/>
    <xf numFmtId="0" fontId="0" fillId="0" borderId="56" xfId="0" applyBorder="1" applyAlignment="1" applyProtection="1"/>
    <xf numFmtId="0" fontId="7" fillId="4" borderId="33" xfId="0" applyFont="1" applyFill="1" applyBorder="1" applyAlignment="1" applyProtection="1">
      <alignment wrapText="1"/>
    </xf>
    <xf numFmtId="0" fontId="7" fillId="0" borderId="29" xfId="0" applyFont="1" applyBorder="1" applyAlignment="1" applyProtection="1"/>
    <xf numFmtId="0" fontId="7" fillId="0" borderId="84" xfId="0" applyFont="1" applyBorder="1" applyAlignment="1" applyProtection="1"/>
    <xf numFmtId="0" fontId="3" fillId="12" borderId="45" xfId="0" applyFont="1" applyFill="1" applyBorder="1" applyAlignment="1" applyProtection="1">
      <alignment horizontal="center" vertical="top" wrapText="1"/>
    </xf>
    <xf numFmtId="0" fontId="0" fillId="12" borderId="9" xfId="0" applyFill="1" applyBorder="1" applyAlignment="1" applyProtection="1">
      <alignment horizontal="center" vertical="top"/>
    </xf>
    <xf numFmtId="0" fontId="0" fillId="12" borderId="89" xfId="0" applyFill="1" applyBorder="1" applyAlignment="1" applyProtection="1">
      <alignment horizontal="center" vertical="top"/>
    </xf>
    <xf numFmtId="0" fontId="0" fillId="12" borderId="6" xfId="0" applyFill="1" applyBorder="1" applyAlignment="1" applyProtection="1">
      <alignment horizontal="center" vertical="top"/>
    </xf>
    <xf numFmtId="0" fontId="0" fillId="12" borderId="0" xfId="0" applyFill="1" applyAlignment="1" applyProtection="1">
      <alignment horizontal="center" vertical="top"/>
    </xf>
    <xf numFmtId="0" fontId="0" fillId="12" borderId="11" xfId="0" applyFill="1" applyBorder="1" applyAlignment="1" applyProtection="1">
      <alignment horizontal="center" vertical="top"/>
    </xf>
    <xf numFmtId="0" fontId="0" fillId="12" borderId="20" xfId="0" applyFill="1" applyBorder="1" applyAlignment="1" applyProtection="1">
      <alignment horizontal="center" vertical="top"/>
    </xf>
    <xf numFmtId="0" fontId="0" fillId="12" borderId="10" xfId="0" applyFill="1" applyBorder="1" applyAlignment="1" applyProtection="1">
      <alignment horizontal="center" vertical="top"/>
    </xf>
    <xf numFmtId="0" fontId="0" fillId="12" borderId="55" xfId="0" applyFill="1" applyBorder="1" applyAlignment="1" applyProtection="1">
      <alignment horizontal="center" vertical="top"/>
    </xf>
    <xf numFmtId="0" fontId="59" fillId="12" borderId="45" xfId="0" applyFont="1" applyFill="1" applyBorder="1" applyAlignment="1" applyProtection="1">
      <alignment horizontal="center" vertical="top" wrapText="1"/>
    </xf>
    <xf numFmtId="0" fontId="59" fillId="12" borderId="9" xfId="0" applyFont="1" applyFill="1" applyBorder="1" applyAlignment="1" applyProtection="1">
      <alignment horizontal="center" vertical="top"/>
    </xf>
    <xf numFmtId="0" fontId="59" fillId="12" borderId="89" xfId="0" applyFont="1" applyFill="1" applyBorder="1" applyAlignment="1" applyProtection="1">
      <alignment horizontal="center" vertical="top"/>
    </xf>
    <xf numFmtId="0" fontId="59" fillId="12" borderId="6" xfId="0" applyFont="1" applyFill="1" applyBorder="1" applyAlignment="1" applyProtection="1">
      <alignment horizontal="center" vertical="top"/>
    </xf>
    <xf numFmtId="0" fontId="59" fillId="12" borderId="0" xfId="0" applyFont="1" applyFill="1" applyAlignment="1" applyProtection="1">
      <alignment horizontal="center" vertical="top"/>
    </xf>
    <xf numFmtId="0" fontId="59" fillId="12" borderId="11" xfId="0" applyFont="1" applyFill="1" applyBorder="1" applyAlignment="1" applyProtection="1">
      <alignment horizontal="center" vertical="top"/>
    </xf>
    <xf numFmtId="0" fontId="59" fillId="12" borderId="20" xfId="0" applyFont="1" applyFill="1" applyBorder="1" applyAlignment="1" applyProtection="1">
      <alignment horizontal="center" vertical="top"/>
    </xf>
    <xf numFmtId="0" fontId="59" fillId="12" borderId="10" xfId="0" applyFont="1" applyFill="1" applyBorder="1" applyAlignment="1" applyProtection="1">
      <alignment horizontal="center" vertical="top"/>
    </xf>
    <xf numFmtId="0" fontId="59" fillId="12" borderId="55" xfId="0" applyFont="1" applyFill="1" applyBorder="1" applyAlignment="1" applyProtection="1">
      <alignment horizontal="center" vertical="top"/>
    </xf>
    <xf numFmtId="0" fontId="59" fillId="13" borderId="45" xfId="0" applyFont="1" applyFill="1" applyBorder="1" applyAlignment="1" applyProtection="1">
      <alignment horizontal="center" vertical="top" wrapText="1"/>
    </xf>
    <xf numFmtId="0" fontId="59" fillId="13" borderId="9" xfId="0" applyFont="1" applyFill="1" applyBorder="1" applyAlignment="1" applyProtection="1">
      <alignment horizontal="center" vertical="top"/>
    </xf>
    <xf numFmtId="0" fontId="59" fillId="13" borderId="89" xfId="0" applyFont="1" applyFill="1" applyBorder="1" applyAlignment="1" applyProtection="1">
      <alignment horizontal="center" vertical="top"/>
    </xf>
    <xf numFmtId="0" fontId="59" fillId="13" borderId="6" xfId="0" applyFont="1" applyFill="1" applyBorder="1" applyAlignment="1" applyProtection="1">
      <alignment horizontal="center" vertical="top"/>
    </xf>
    <xf numFmtId="0" fontId="59" fillId="13" borderId="0" xfId="0" applyFont="1" applyFill="1" applyAlignment="1" applyProtection="1">
      <alignment horizontal="center" vertical="top"/>
    </xf>
    <xf numFmtId="0" fontId="59" fillId="13" borderId="11" xfId="0" applyFont="1" applyFill="1" applyBorder="1" applyAlignment="1" applyProtection="1">
      <alignment horizontal="center" vertical="top"/>
    </xf>
    <xf numFmtId="0" fontId="59" fillId="13" borderId="20" xfId="0" applyFont="1" applyFill="1" applyBorder="1" applyAlignment="1" applyProtection="1">
      <alignment horizontal="center" vertical="top"/>
    </xf>
    <xf numFmtId="0" fontId="59" fillId="13" borderId="10" xfId="0" applyFont="1" applyFill="1" applyBorder="1" applyAlignment="1" applyProtection="1">
      <alignment horizontal="center" vertical="top"/>
    </xf>
    <xf numFmtId="0" fontId="59" fillId="13" borderId="55" xfId="0" applyFont="1" applyFill="1" applyBorder="1" applyAlignment="1" applyProtection="1">
      <alignment horizontal="center" vertical="top"/>
    </xf>
    <xf numFmtId="0" fontId="59" fillId="13" borderId="45" xfId="0" applyFont="1" applyFill="1" applyBorder="1" applyAlignment="1" applyProtection="1">
      <alignment horizontal="center" vertical="center" wrapText="1"/>
    </xf>
    <xf numFmtId="0" fontId="59" fillId="13" borderId="9" xfId="0" applyFont="1" applyFill="1" applyBorder="1" applyAlignment="1" applyProtection="1">
      <alignment horizontal="center" vertical="center"/>
    </xf>
    <xf numFmtId="0" fontId="59" fillId="13" borderId="89" xfId="0" applyFont="1" applyFill="1" applyBorder="1" applyAlignment="1" applyProtection="1">
      <alignment horizontal="center" vertical="center"/>
    </xf>
    <xf numFmtId="0" fontId="59" fillId="13" borderId="6" xfId="0" applyFont="1" applyFill="1" applyBorder="1" applyAlignment="1" applyProtection="1">
      <alignment horizontal="center" vertical="center"/>
    </xf>
    <xf numFmtId="0" fontId="59" fillId="13" borderId="0" xfId="0" applyFont="1" applyFill="1" applyAlignment="1" applyProtection="1">
      <alignment horizontal="center" vertical="center"/>
    </xf>
    <xf numFmtId="0" fontId="59" fillId="13" borderId="11" xfId="0" applyFont="1" applyFill="1" applyBorder="1" applyAlignment="1" applyProtection="1">
      <alignment horizontal="center" vertical="center"/>
    </xf>
    <xf numFmtId="0" fontId="59" fillId="13" borderId="20" xfId="0" applyFont="1" applyFill="1" applyBorder="1" applyAlignment="1" applyProtection="1">
      <alignment horizontal="center" vertical="center"/>
    </xf>
    <xf numFmtId="0" fontId="59" fillId="13" borderId="10" xfId="0" applyFont="1" applyFill="1" applyBorder="1" applyAlignment="1" applyProtection="1">
      <alignment horizontal="center" vertical="center"/>
    </xf>
    <xf numFmtId="0" fontId="59" fillId="13" borderId="55" xfId="0" applyFont="1" applyFill="1" applyBorder="1" applyAlignment="1" applyProtection="1">
      <alignment horizontal="center" vertical="center"/>
    </xf>
    <xf numFmtId="0" fontId="52" fillId="3" borderId="93" xfId="0" applyFont="1" applyFill="1" applyBorder="1" applyAlignment="1" applyProtection="1">
      <alignment horizontal="center" vertical="center"/>
      <protection locked="0"/>
    </xf>
    <xf numFmtId="0" fontId="54" fillId="3" borderId="92" xfId="0" applyFont="1" applyFill="1" applyBorder="1" applyAlignment="1" applyProtection="1">
      <alignment horizontal="center" vertical="center"/>
      <protection locked="0"/>
    </xf>
    <xf numFmtId="0" fontId="13" fillId="0" borderId="14" xfId="0" applyFont="1" applyFill="1" applyBorder="1" applyAlignment="1" applyProtection="1">
      <protection locked="0"/>
    </xf>
    <xf numFmtId="0" fontId="7" fillId="0" borderId="16" xfId="0" applyFont="1" applyBorder="1" applyAlignment="1" applyProtection="1">
      <protection locked="0"/>
    </xf>
    <xf numFmtId="0" fontId="13" fillId="0" borderId="22" xfId="0" applyFont="1" applyFill="1" applyBorder="1" applyAlignment="1" applyProtection="1">
      <protection locked="0"/>
    </xf>
    <xf numFmtId="0" fontId="7" fillId="0" borderId="51" xfId="0" applyFont="1" applyBorder="1" applyAlignment="1" applyProtection="1">
      <protection locked="0"/>
    </xf>
    <xf numFmtId="0" fontId="7" fillId="4" borderId="101" xfId="0" applyFont="1" applyFill="1" applyBorder="1" applyAlignment="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2" borderId="22" xfId="0" applyFont="1" applyFill="1" applyBorder="1" applyAlignment="1" applyProtection="1">
      <alignment wrapText="1"/>
    </xf>
    <xf numFmtId="0" fontId="7" fillId="0" borderId="51" xfId="0" applyFont="1" applyBorder="1" applyAlignment="1" applyProtection="1">
      <alignment wrapText="1"/>
    </xf>
    <xf numFmtId="44" fontId="13" fillId="2" borderId="65" xfId="0" applyNumberFormat="1" applyFont="1" applyFill="1" applyBorder="1" applyAlignment="1" applyProtection="1">
      <alignment horizontal="right" vertical="center"/>
    </xf>
    <xf numFmtId="0" fontId="7" fillId="2" borderId="67" xfId="0" applyFont="1" applyFill="1" applyBorder="1" applyAlignment="1" applyProtection="1">
      <alignment horizontal="right" vertical="center"/>
    </xf>
    <xf numFmtId="0" fontId="7" fillId="8" borderId="20" xfId="0" applyFont="1" applyFill="1" applyBorder="1" applyAlignment="1" applyProtection="1">
      <alignment horizontal="left" wrapText="1"/>
    </xf>
    <xf numFmtId="0" fontId="7" fillId="8" borderId="10" xfId="0" applyFont="1" applyFill="1" applyBorder="1" applyAlignment="1" applyProtection="1">
      <alignment horizontal="left" wrapText="1"/>
    </xf>
    <xf numFmtId="0" fontId="7" fillId="8" borderId="10" xfId="0" applyFont="1" applyFill="1" applyBorder="1" applyAlignment="1" applyProtection="1"/>
    <xf numFmtId="0" fontId="7" fillId="8" borderId="55" xfId="0" applyFont="1" applyFill="1" applyBorder="1" applyAlignment="1" applyProtection="1"/>
    <xf numFmtId="0" fontId="7" fillId="4" borderId="13" xfId="0" applyFont="1" applyFill="1" applyBorder="1" applyAlignment="1">
      <alignment horizontal="right" vertical="center"/>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39">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patternType="none">
          <bgColor auto="1"/>
        </patternFill>
      </fill>
    </dxf>
    <dxf>
      <font>
        <color theme="0"/>
      </font>
    </dxf>
    <dxf>
      <fill>
        <patternFill>
          <bgColor rgb="FFFF0000"/>
        </patternFill>
      </fill>
    </dxf>
    <dxf>
      <font>
        <color theme="0"/>
      </font>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rgb="FFFFFF99"/>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DAE7F6"/>
      <color rgb="FFFFFF99"/>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2</xdr:row>
      <xdr:rowOff>219075</xdr:rowOff>
    </xdr:from>
    <xdr:ext cx="3076575" cy="78105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343775" y="885825"/>
          <a:ext cx="3076575" cy="781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p>
        <a:p>
          <a:pPr marL="0" marR="0" indent="0" defTabSz="914400" eaLnBrk="1" fontAlgn="auto" latinLnBrk="0" hangingPunct="1">
            <a:lnSpc>
              <a:spcPct val="100000"/>
            </a:lnSpc>
            <a:spcBef>
              <a:spcPts val="0"/>
            </a:spcBef>
            <a:spcAft>
              <a:spcPts val="0"/>
            </a:spcAft>
            <a:buClrTx/>
            <a:buSzTx/>
            <a:buFontTx/>
            <a:buNone/>
            <a:tabLst/>
            <a:defRPr/>
          </a:pPr>
          <a:r>
            <a:rPr lang="de-DE" sz="900" b="0" i="1" baseline="0">
              <a:solidFill>
                <a:schemeClr val="tx1"/>
              </a:solidFill>
              <a:effectLst/>
              <a:latin typeface="+mn-lt"/>
              <a:ea typeface="+mn-ea"/>
              <a:cs typeface="+mn-cs"/>
            </a:rPr>
            <a:t>=&gt; Dieser Hinweis wird nicht mit ausgedruckt.</a:t>
          </a:r>
          <a:endParaRPr lang="de-DE" sz="900">
            <a:effectLst/>
          </a:endParaRPr>
        </a:p>
        <a:p>
          <a:endParaRPr lang="de-DE" sz="1100" b="0"/>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819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819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br>
            <a:rPr lang="de-DE" sz="1100" b="0" baseline="0">
              <a:solidFill>
                <a:sysClr val="windowText" lastClr="000000"/>
              </a:solidFill>
            </a:rPr>
          </a:br>
          <a:r>
            <a:rPr lang="de-DE" sz="900" b="0" i="1" baseline="0">
              <a:solidFill>
                <a:sysClr val="windowText" lastClr="000000"/>
              </a:solidFill>
            </a:rPr>
            <a:t>=&gt; Dieser Hinweis wird nicht mit ausgedruckt.</a:t>
          </a:r>
          <a:endParaRPr lang="de-DE" sz="900" b="0" i="1">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276861</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activeCell="B5" sqref="B5"/>
    </sheetView>
  </sheetViews>
  <sheetFormatPr baseColWidth="10" defaultColWidth="11.453125" defaultRowHeight="14.5" x14ac:dyDescent="0.35"/>
  <cols>
    <col min="1" max="1" width="28.453125" style="60" customWidth="1"/>
    <col min="2" max="2" width="30.81640625" style="60" customWidth="1"/>
    <col min="3" max="3" width="19.453125" style="60" customWidth="1"/>
    <col min="4" max="4" width="10.81640625" style="60" customWidth="1"/>
    <col min="5" max="5" width="11.453125" style="137"/>
    <col min="6" max="16384" width="11.453125" style="60"/>
  </cols>
  <sheetData>
    <row r="1" spans="1:4" ht="26" x14ac:dyDescent="0.6">
      <c r="A1" s="607" t="s">
        <v>323</v>
      </c>
      <c r="B1" s="451"/>
      <c r="C1" s="451"/>
      <c r="D1" s="597"/>
    </row>
    <row r="2" spans="1:4" ht="26" x14ac:dyDescent="0.6">
      <c r="A2" s="608" t="s">
        <v>283</v>
      </c>
      <c r="B2" s="455"/>
      <c r="C2" s="455"/>
      <c r="D2" s="609" t="s">
        <v>369</v>
      </c>
    </row>
    <row r="3" spans="1:4" x14ac:dyDescent="0.35">
      <c r="A3" s="111">
        <f>+B5</f>
        <v>0</v>
      </c>
      <c r="B3" s="112">
        <f>+B6</f>
        <v>0</v>
      </c>
      <c r="C3" s="610" t="s">
        <v>40</v>
      </c>
      <c r="D3" s="611"/>
    </row>
    <row r="4" spans="1:4" ht="26" x14ac:dyDescent="0.6">
      <c r="A4" s="61"/>
      <c r="B4" s="62"/>
      <c r="C4" s="62"/>
      <c r="D4" s="63"/>
    </row>
    <row r="5" spans="1:4" x14ac:dyDescent="0.35">
      <c r="A5" s="110" t="s">
        <v>158</v>
      </c>
      <c r="B5" s="970"/>
      <c r="C5" s="62"/>
      <c r="D5" s="63"/>
    </row>
    <row r="6" spans="1:4" x14ac:dyDescent="0.35">
      <c r="A6" s="110" t="s">
        <v>322</v>
      </c>
      <c r="B6" s="970"/>
      <c r="C6" s="62"/>
      <c r="D6" s="63"/>
    </row>
    <row r="7" spans="1:4" x14ac:dyDescent="0.35">
      <c r="A7" s="110" t="s">
        <v>159</v>
      </c>
      <c r="B7" s="970"/>
      <c r="C7" s="62"/>
      <c r="D7" s="63"/>
    </row>
    <row r="8" spans="1:4" x14ac:dyDescent="0.35">
      <c r="A8" s="31" t="s">
        <v>266</v>
      </c>
      <c r="B8" s="65"/>
      <c r="C8" s="62"/>
      <c r="D8" s="63"/>
    </row>
    <row r="9" spans="1:4" x14ac:dyDescent="0.35">
      <c r="A9" s="66"/>
      <c r="B9" s="62"/>
      <c r="C9" s="62"/>
      <c r="D9" s="63"/>
    </row>
    <row r="10" spans="1:4" x14ac:dyDescent="0.35">
      <c r="A10" s="747" t="s">
        <v>339</v>
      </c>
      <c r="B10" s="62"/>
      <c r="C10" s="62"/>
      <c r="D10" s="63"/>
    </row>
    <row r="11" spans="1:4" x14ac:dyDescent="0.35">
      <c r="A11" s="66"/>
      <c r="B11" s="62"/>
      <c r="C11" s="62"/>
      <c r="D11" s="63"/>
    </row>
    <row r="12" spans="1:4" x14ac:dyDescent="0.35">
      <c r="A12" s="66"/>
      <c r="B12" s="62"/>
      <c r="C12" s="62"/>
      <c r="D12" s="63"/>
    </row>
    <row r="13" spans="1:4" x14ac:dyDescent="0.35">
      <c r="A13" s="66"/>
      <c r="B13" s="62"/>
      <c r="C13" s="62"/>
      <c r="D13" s="63"/>
    </row>
    <row r="14" spans="1:4" x14ac:dyDescent="0.35">
      <c r="A14" s="66"/>
      <c r="B14" s="62"/>
      <c r="C14" s="62"/>
      <c r="D14" s="63"/>
    </row>
    <row r="15" spans="1:4" x14ac:dyDescent="0.35">
      <c r="A15" s="66"/>
      <c r="B15" s="62"/>
      <c r="C15" s="62"/>
      <c r="D15" s="63"/>
    </row>
    <row r="16" spans="1:4" x14ac:dyDescent="0.35">
      <c r="A16" s="66"/>
      <c r="B16" s="62"/>
      <c r="C16" s="62"/>
      <c r="D16" s="63"/>
    </row>
    <row r="17" spans="1:4" x14ac:dyDescent="0.35">
      <c r="A17" s="66"/>
      <c r="B17" s="62"/>
      <c r="C17" s="62"/>
      <c r="D17" s="63"/>
    </row>
    <row r="18" spans="1:4" x14ac:dyDescent="0.35">
      <c r="A18" s="66"/>
      <c r="B18" s="62"/>
      <c r="C18" s="62"/>
      <c r="D18" s="63"/>
    </row>
    <row r="19" spans="1:4" x14ac:dyDescent="0.35">
      <c r="A19" s="66"/>
      <c r="B19" s="62"/>
      <c r="C19" s="62"/>
      <c r="D19" s="63"/>
    </row>
    <row r="20" spans="1:4" x14ac:dyDescent="0.35">
      <c r="A20" s="66"/>
      <c r="B20" s="62"/>
      <c r="C20" s="62"/>
      <c r="D20" s="63"/>
    </row>
    <row r="21" spans="1:4" x14ac:dyDescent="0.35">
      <c r="A21" s="66"/>
      <c r="B21" s="62"/>
      <c r="C21" s="62"/>
      <c r="D21" s="63"/>
    </row>
    <row r="22" spans="1:4" x14ac:dyDescent="0.35">
      <c r="A22" s="66"/>
      <c r="B22" s="62"/>
      <c r="C22" s="62"/>
      <c r="D22" s="63"/>
    </row>
    <row r="23" spans="1:4" x14ac:dyDescent="0.35">
      <c r="A23" s="66"/>
      <c r="B23" s="62"/>
      <c r="C23" s="62"/>
      <c r="D23" s="63"/>
    </row>
    <row r="24" spans="1:4" x14ac:dyDescent="0.35">
      <c r="A24" s="66"/>
      <c r="B24" s="62"/>
      <c r="C24" s="62"/>
      <c r="D24" s="63"/>
    </row>
    <row r="25" spans="1:4" x14ac:dyDescent="0.35">
      <c r="A25" s="66"/>
      <c r="B25" s="62"/>
      <c r="C25" s="62"/>
      <c r="D25" s="63"/>
    </row>
    <row r="26" spans="1:4" x14ac:dyDescent="0.35">
      <c r="A26" s="66"/>
      <c r="B26" s="62"/>
      <c r="C26" s="62"/>
      <c r="D26" s="63"/>
    </row>
    <row r="27" spans="1:4" x14ac:dyDescent="0.35">
      <c r="A27" s="66"/>
      <c r="B27" s="62"/>
      <c r="C27" s="62"/>
      <c r="D27" s="63"/>
    </row>
    <row r="28" spans="1:4" x14ac:dyDescent="0.35">
      <c r="A28" s="66"/>
      <c r="B28" s="62"/>
      <c r="C28" s="62"/>
      <c r="D28" s="63"/>
    </row>
    <row r="29" spans="1:4" x14ac:dyDescent="0.35">
      <c r="A29" s="66"/>
      <c r="B29" s="62"/>
      <c r="C29" s="62"/>
      <c r="D29" s="63"/>
    </row>
    <row r="30" spans="1:4" x14ac:dyDescent="0.35">
      <c r="A30" s="66"/>
      <c r="B30" s="62"/>
      <c r="C30" s="62"/>
      <c r="D30" s="63"/>
    </row>
    <row r="31" spans="1:4" x14ac:dyDescent="0.35">
      <c r="A31" s="66"/>
      <c r="B31" s="62"/>
      <c r="C31" s="62"/>
      <c r="D31" s="63"/>
    </row>
    <row r="32" spans="1:4" x14ac:dyDescent="0.35">
      <c r="A32" s="66"/>
      <c r="B32" s="62"/>
      <c r="C32" s="62"/>
      <c r="D32" s="63"/>
    </row>
    <row r="33" spans="1:4" x14ac:dyDescent="0.35">
      <c r="A33" s="66"/>
      <c r="B33" s="62"/>
      <c r="C33" s="62"/>
      <c r="D33" s="63"/>
    </row>
    <row r="34" spans="1:4" x14ac:dyDescent="0.35">
      <c r="A34" s="66"/>
      <c r="B34" s="62"/>
      <c r="C34" s="62"/>
      <c r="D34" s="63"/>
    </row>
    <row r="35" spans="1:4" x14ac:dyDescent="0.35">
      <c r="A35" s="66"/>
      <c r="B35" s="62"/>
      <c r="C35" s="62"/>
      <c r="D35" s="63"/>
    </row>
    <row r="36" spans="1:4" x14ac:dyDescent="0.35">
      <c r="A36" s="66"/>
      <c r="B36" s="62"/>
      <c r="C36" s="62"/>
      <c r="D36" s="63"/>
    </row>
    <row r="37" spans="1:4" x14ac:dyDescent="0.35">
      <c r="A37" s="66"/>
      <c r="B37" s="62"/>
      <c r="C37" s="62"/>
      <c r="D37" s="63"/>
    </row>
    <row r="38" spans="1:4" x14ac:dyDescent="0.35">
      <c r="A38" s="66"/>
      <c r="B38" s="62"/>
      <c r="C38" s="62"/>
      <c r="D38" s="63"/>
    </row>
    <row r="39" spans="1:4" x14ac:dyDescent="0.35">
      <c r="A39" s="66"/>
      <c r="B39" s="62"/>
      <c r="C39" s="62"/>
      <c r="D39" s="63"/>
    </row>
    <row r="40" spans="1:4" x14ac:dyDescent="0.35">
      <c r="A40" s="67"/>
      <c r="B40" s="68"/>
      <c r="C40" s="68"/>
      <c r="D40" s="69"/>
    </row>
  </sheetData>
  <sheetProtection algorithmName="SHA-512" hashValue="02y8eqfKwdhCoiVuCyb9/zRZojAQGQ/tJKYjiFGz1ior9nfbC4X15VvDr64ONHOJMU736gs43aZHi7w1Ct/SQg==" saltValue="HK9XQtxEmzsh5lSKW748tg==" spinCount="100000" sheet="1" objects="1" scenarios="1"/>
  <pageMargins left="0.7" right="0.7" top="0.78740157499999996" bottom="0.78740157499999996"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zoomScaleNormal="100" workbookViewId="0">
      <selection activeCell="A5" sqref="A5"/>
    </sheetView>
  </sheetViews>
  <sheetFormatPr baseColWidth="10" defaultColWidth="11.453125" defaultRowHeight="14.5" x14ac:dyDescent="0.35"/>
  <cols>
    <col min="1" max="1" width="4.54296875" style="60" customWidth="1"/>
    <col min="2" max="2" width="38" style="60" customWidth="1"/>
    <col min="3" max="3" width="17.81640625" style="60" customWidth="1"/>
    <col min="4" max="4" width="18.1796875" style="60" customWidth="1"/>
    <col min="5" max="5" width="17.81640625" style="60" customWidth="1"/>
    <col min="6" max="6" width="19" style="60" customWidth="1"/>
    <col min="7" max="7" width="6.26953125" style="60" customWidth="1"/>
    <col min="8" max="8" width="9" style="60" customWidth="1"/>
    <col min="9" max="9" width="11.453125" style="60"/>
    <col min="10" max="10" width="15.453125" style="60" customWidth="1"/>
    <col min="11" max="16384" width="11.453125" style="60"/>
  </cols>
  <sheetData>
    <row r="1" spans="1:11" s="137" customFormat="1" ht="26" x14ac:dyDescent="0.6">
      <c r="A1" s="596" t="s">
        <v>99</v>
      </c>
      <c r="B1" s="738"/>
      <c r="C1" s="1"/>
      <c r="D1" s="1"/>
      <c r="E1" s="1"/>
      <c r="F1" s="563"/>
    </row>
    <row r="2" spans="1:11" s="137" customFormat="1" ht="26" x14ac:dyDescent="0.6">
      <c r="A2" s="598" t="s">
        <v>245</v>
      </c>
      <c r="B2" s="2"/>
      <c r="C2" s="3"/>
      <c r="D2" s="3"/>
      <c r="E2" s="3"/>
      <c r="F2" s="599" t="str">
        <f>+Stammdaten!D2</f>
        <v>Version 1.8</v>
      </c>
    </row>
    <row r="3" spans="1:11" s="137" customFormat="1" ht="19" thickBot="1" x14ac:dyDescent="0.5">
      <c r="A3" s="4">
        <f>+Stammdaten!A3</f>
        <v>0</v>
      </c>
      <c r="B3" s="739"/>
      <c r="C3" s="5"/>
      <c r="D3" s="6">
        <f>+Stammdaten!B3</f>
        <v>0</v>
      </c>
      <c r="E3" s="740"/>
      <c r="F3" s="741" t="s">
        <v>40</v>
      </c>
    </row>
    <row r="4" spans="1:11" s="137" customFormat="1" ht="90.75" customHeight="1" thickBot="1" x14ac:dyDescent="0.4">
      <c r="A4" s="1180" t="s">
        <v>264</v>
      </c>
      <c r="B4" s="1181"/>
      <c r="C4" s="1182"/>
      <c r="D4" s="1182"/>
      <c r="E4" s="1182"/>
      <c r="F4" s="1183"/>
      <c r="H4" s="332"/>
    </row>
    <row r="5" spans="1:11" s="137" customFormat="1" ht="19.5" customHeight="1" x14ac:dyDescent="0.6">
      <c r="A5" s="73"/>
      <c r="B5" s="481"/>
      <c r="C5" s="74"/>
      <c r="D5" s="74"/>
      <c r="E5" s="74"/>
      <c r="F5" s="75"/>
      <c r="H5" s="332"/>
      <c r="K5" s="355"/>
    </row>
    <row r="6" spans="1:11" s="137" customFormat="1" x14ac:dyDescent="0.35">
      <c r="A6" s="565" t="s">
        <v>248</v>
      </c>
      <c r="B6" s="735"/>
      <c r="C6" s="736"/>
      <c r="D6" s="737"/>
      <c r="E6" s="8" t="e">
        <f>+'E Mietber.'!H8</f>
        <v>#DIV/0!</v>
      </c>
      <c r="F6" s="75"/>
      <c r="H6" s="332"/>
      <c r="K6" s="355"/>
    </row>
    <row r="7" spans="1:11" s="137" customFormat="1" x14ac:dyDescent="0.35">
      <c r="A7" s="565" t="s">
        <v>249</v>
      </c>
      <c r="B7" s="735"/>
      <c r="C7" s="736"/>
      <c r="D7" s="737"/>
      <c r="E7" s="9">
        <f>+Stammdaten!B7</f>
        <v>0</v>
      </c>
      <c r="F7" s="75"/>
      <c r="H7" s="332"/>
      <c r="K7" s="355"/>
    </row>
    <row r="8" spans="1:11" s="137" customFormat="1" x14ac:dyDescent="0.35">
      <c r="A8" s="565" t="s">
        <v>250</v>
      </c>
      <c r="B8" s="735"/>
      <c r="C8" s="736"/>
      <c r="D8" s="737"/>
      <c r="E8" s="8" t="e">
        <f>+E6*E7</f>
        <v>#DIV/0!</v>
      </c>
      <c r="F8" s="75"/>
      <c r="H8" s="332"/>
      <c r="K8" s="355"/>
    </row>
    <row r="9" spans="1:11" s="137" customFormat="1" ht="15" thickBot="1" x14ac:dyDescent="0.4">
      <c r="A9" s="231"/>
      <c r="B9" s="483"/>
      <c r="C9" s="74"/>
      <c r="D9" s="74"/>
      <c r="E9" s="3"/>
      <c r="F9" s="75"/>
      <c r="H9" s="332"/>
      <c r="K9" s="355"/>
    </row>
    <row r="10" spans="1:11" s="137" customFormat="1" ht="18.5" x14ac:dyDescent="0.45">
      <c r="A10" s="1167"/>
      <c r="B10" s="729" t="s">
        <v>257</v>
      </c>
      <c r="C10" s="730"/>
      <c r="D10" s="730"/>
      <c r="E10" s="731"/>
      <c r="F10" s="75"/>
      <c r="H10" s="332"/>
      <c r="K10" s="355"/>
    </row>
    <row r="11" spans="1:11" s="137" customFormat="1" ht="15" thickBot="1" x14ac:dyDescent="0.4">
      <c r="A11" s="1168"/>
      <c r="B11" s="732" t="s">
        <v>258</v>
      </c>
      <c r="C11" s="733"/>
      <c r="D11" s="733"/>
      <c r="E11" s="734"/>
      <c r="F11" s="75"/>
      <c r="H11" s="332"/>
      <c r="K11" s="355"/>
    </row>
    <row r="12" spans="1:11" s="137" customFormat="1" x14ac:dyDescent="0.35">
      <c r="A12" s="561" t="s">
        <v>251</v>
      </c>
      <c r="B12" s="726"/>
      <c r="C12" s="3" t="s">
        <v>261</v>
      </c>
      <c r="D12" s="727" t="s">
        <v>159</v>
      </c>
      <c r="E12" s="728"/>
      <c r="F12" s="75"/>
      <c r="H12" s="332"/>
      <c r="K12" s="355"/>
    </row>
    <row r="13" spans="1:11" s="137" customFormat="1" ht="18.5" x14ac:dyDescent="0.45">
      <c r="A13" s="1169" t="s">
        <v>246</v>
      </c>
      <c r="B13" s="1170"/>
      <c r="C13" s="484"/>
      <c r="D13" s="485"/>
      <c r="E13" s="10">
        <f>+D13*C13</f>
        <v>0</v>
      </c>
      <c r="F13" s="75"/>
      <c r="H13" s="332"/>
      <c r="K13" s="355"/>
    </row>
    <row r="14" spans="1:11" s="137" customFormat="1" ht="19" thickBot="1" x14ac:dyDescent="0.5">
      <c r="A14" s="1171" t="s">
        <v>247</v>
      </c>
      <c r="B14" s="1172"/>
      <c r="C14" s="58">
        <f>IF((D14)&gt;0,(E8-E13)/D14,0)</f>
        <v>0</v>
      </c>
      <c r="D14" s="11">
        <f>IF((E7-D13)&gt;0,E7-D13,0)</f>
        <v>0</v>
      </c>
      <c r="E14" s="12">
        <f t="shared" ref="E14" si="0">+D14*C14</f>
        <v>0</v>
      </c>
      <c r="F14" s="75"/>
      <c r="H14" s="503" t="str">
        <f>IF(A10="X",D15-E7,"")</f>
        <v/>
      </c>
      <c r="I14" s="504" t="str">
        <f>IF(A10="x","Kontrolle Platzzahl","")</f>
        <v/>
      </c>
      <c r="K14" s="355"/>
    </row>
    <row r="15" spans="1:11" s="137" customFormat="1" ht="15.5" thickTop="1" thickBot="1" x14ac:dyDescent="0.4">
      <c r="A15" s="487"/>
      <c r="B15" s="725" t="s">
        <v>263</v>
      </c>
      <c r="C15" s="55" t="e">
        <f>+(C13*D13+C14*D14)/D15</f>
        <v>#DIV/0!</v>
      </c>
      <c r="D15" s="56">
        <f>+SUM(D13:D14)</f>
        <v>0</v>
      </c>
      <c r="E15" s="57">
        <f>+SUM(E13:E14)</f>
        <v>0</v>
      </c>
      <c r="F15" s="75"/>
      <c r="H15" s="505" t="str">
        <f>IF(A10="X",ROUND(E6-C15,2),"")</f>
        <v/>
      </c>
      <c r="I15" s="504" t="str">
        <f>IF(A10="X","Kontrolle Kaltmiete pro Platz","")</f>
        <v/>
      </c>
      <c r="K15" s="355"/>
    </row>
    <row r="16" spans="1:11" ht="15" thickBot="1" x14ac:dyDescent="0.4">
      <c r="A16" s="512" t="str">
        <f>+IF(AND(A10="x",A17="x"),"Bitte wählen Sie ENTWEDER 2 ODER 3 Zimmerkategorien","")</f>
        <v/>
      </c>
      <c r="B16" s="488"/>
      <c r="C16" s="488"/>
      <c r="D16" s="488"/>
      <c r="E16" s="488"/>
      <c r="F16" s="81"/>
      <c r="G16" s="71"/>
      <c r="H16" s="505" t="str">
        <f>IF(A10="X",ROUND(E8-E15,2),"")</f>
        <v/>
      </c>
      <c r="I16" s="504" t="str">
        <f>IF(A10="X","Kontrolle Kaltmiete gesamt","")</f>
        <v/>
      </c>
      <c r="K16" s="76"/>
    </row>
    <row r="17" spans="1:11" s="137" customFormat="1" ht="18.5" x14ac:dyDescent="0.45">
      <c r="A17" s="1167"/>
      <c r="B17" s="729" t="s">
        <v>256</v>
      </c>
      <c r="C17" s="730"/>
      <c r="D17" s="730"/>
      <c r="E17" s="731"/>
      <c r="F17" s="75"/>
      <c r="H17" s="332"/>
      <c r="K17" s="355"/>
    </row>
    <row r="18" spans="1:11" s="137" customFormat="1" ht="15" thickBot="1" x14ac:dyDescent="0.4">
      <c r="A18" s="1168"/>
      <c r="B18" s="732" t="s">
        <v>255</v>
      </c>
      <c r="C18" s="733"/>
      <c r="D18" s="733"/>
      <c r="E18" s="734"/>
      <c r="F18" s="75"/>
      <c r="H18" s="332"/>
      <c r="K18" s="355"/>
    </row>
    <row r="19" spans="1:11" s="137" customFormat="1" x14ac:dyDescent="0.35">
      <c r="A19" s="561" t="s">
        <v>251</v>
      </c>
      <c r="B19" s="726"/>
      <c r="C19" s="3" t="s">
        <v>261</v>
      </c>
      <c r="D19" s="727" t="s">
        <v>159</v>
      </c>
      <c r="E19" s="728"/>
      <c r="F19" s="75"/>
      <c r="H19" s="332"/>
      <c r="K19" s="355"/>
    </row>
    <row r="20" spans="1:11" s="137" customFormat="1" ht="18.5" x14ac:dyDescent="0.45">
      <c r="A20" s="1169" t="s">
        <v>246</v>
      </c>
      <c r="B20" s="1170"/>
      <c r="C20" s="484"/>
      <c r="D20" s="485"/>
      <c r="E20" s="10">
        <f>+D20*C20</f>
        <v>0</v>
      </c>
      <c r="F20" s="75"/>
      <c r="H20" s="332"/>
      <c r="K20" s="355"/>
    </row>
    <row r="21" spans="1:11" s="137" customFormat="1" ht="18.5" x14ac:dyDescent="0.45">
      <c r="A21" s="1169" t="s">
        <v>247</v>
      </c>
      <c r="B21" s="1170"/>
      <c r="C21" s="484"/>
      <c r="D21" s="485"/>
      <c r="E21" s="10">
        <f>+D21*C21</f>
        <v>0</v>
      </c>
      <c r="F21" s="75"/>
      <c r="H21" s="332"/>
      <c r="K21" s="355"/>
    </row>
    <row r="22" spans="1:11" s="137" customFormat="1" ht="19" thickBot="1" x14ac:dyDescent="0.5">
      <c r="A22" s="1171" t="s">
        <v>377</v>
      </c>
      <c r="B22" s="1172"/>
      <c r="C22" s="58">
        <f>IF((D22)&gt;0,(E8-E20-E21)/D22,0)</f>
        <v>0</v>
      </c>
      <c r="D22" s="11">
        <f>IF((E7-D20-D21)&gt;0,E7-D20-D21,0)</f>
        <v>0</v>
      </c>
      <c r="E22" s="12">
        <f t="shared" ref="E22" si="1">+D22*C22</f>
        <v>0</v>
      </c>
      <c r="F22" s="75"/>
      <c r="H22" s="503" t="str">
        <f>IF(A17="X",D23-E7,"")</f>
        <v/>
      </c>
      <c r="I22" s="504" t="str">
        <f>IF(A17="x","Kontrolle Platzzahl","")</f>
        <v/>
      </c>
      <c r="K22" s="355"/>
    </row>
    <row r="23" spans="1:11" s="137" customFormat="1" ht="15.5" thickTop="1" thickBot="1" x14ac:dyDescent="0.4">
      <c r="A23" s="487"/>
      <c r="B23" s="725" t="s">
        <v>263</v>
      </c>
      <c r="C23" s="55" t="e">
        <f>+(C20*D20+C21*D21+C22*D22)/D23</f>
        <v>#DIV/0!</v>
      </c>
      <c r="D23" s="56">
        <f>+SUM(D20:D22)</f>
        <v>0</v>
      </c>
      <c r="E23" s="57">
        <f>+SUM(E20:E22)</f>
        <v>0</v>
      </c>
      <c r="F23" s="75"/>
      <c r="H23" s="503" t="str">
        <f>IF(A17="X",ROUND(E6-C23,2),"")</f>
        <v/>
      </c>
      <c r="I23" s="504" t="str">
        <f>IF(A17="x","Kontrolle Kaltmiete pro Platz","")</f>
        <v/>
      </c>
      <c r="K23" s="355"/>
    </row>
    <row r="24" spans="1:11" s="137" customFormat="1" ht="25.5" customHeight="1" x14ac:dyDescent="0.35">
      <c r="A24" s="85"/>
      <c r="B24" s="489"/>
      <c r="C24" s="86"/>
      <c r="D24" s="86"/>
      <c r="E24" s="86"/>
      <c r="F24" s="154"/>
      <c r="H24" s="506" t="str">
        <f>IF(A17="X",ROUND(E8-E23,2),"")</f>
        <v/>
      </c>
      <c r="I24" s="507" t="str">
        <f>IF(A17="x","Kontrolle Kaltmiete gesamt","")</f>
        <v/>
      </c>
      <c r="K24" s="355"/>
    </row>
    <row r="25" spans="1:11" s="137" customFormat="1" ht="26" x14ac:dyDescent="0.6">
      <c r="A25" s="598" t="s">
        <v>190</v>
      </c>
      <c r="B25" s="2"/>
      <c r="C25" s="59" t="str">
        <f>IF(A10="x",A13,IF(A17="x",A20,""))</f>
        <v/>
      </c>
      <c r="D25" s="59" t="str">
        <f>IF(A10="x",A14,IF(A17="x",A21,""))</f>
        <v/>
      </c>
      <c r="E25" s="59" t="str">
        <f>IF(A10="x","",IF(A17="x",A22,""))</f>
        <v/>
      </c>
      <c r="F25" s="7"/>
      <c r="G25" s="490"/>
      <c r="H25" s="491"/>
      <c r="I25" s="79"/>
      <c r="J25" s="79"/>
    </row>
    <row r="26" spans="1:11" s="137" customFormat="1" ht="30" x14ac:dyDescent="0.45">
      <c r="A26" s="14"/>
      <c r="B26" s="15"/>
      <c r="C26" s="16" t="s">
        <v>191</v>
      </c>
      <c r="D26" s="16" t="s">
        <v>191</v>
      </c>
      <c r="E26" s="16" t="s">
        <v>191</v>
      </c>
      <c r="F26" s="17" t="s">
        <v>192</v>
      </c>
      <c r="G26" s="492"/>
      <c r="H26" s="491"/>
      <c r="I26" s="79"/>
      <c r="J26" s="79"/>
    </row>
    <row r="27" spans="1:11" s="137" customFormat="1" ht="18.5" x14ac:dyDescent="0.45">
      <c r="A27" s="14" t="s">
        <v>159</v>
      </c>
      <c r="B27" s="15"/>
      <c r="C27" s="18">
        <f>IF(A10="x",D13,IF(A17="x",D20,E7))</f>
        <v>0</v>
      </c>
      <c r="D27" s="18" t="str">
        <f>IF(A10="x",D14,IF(A17="x",D21,""))</f>
        <v/>
      </c>
      <c r="E27" s="18" t="str">
        <f>IF(A10="x","",IF(A17="x",D22,""))</f>
        <v/>
      </c>
      <c r="F27" s="19">
        <f>+E7</f>
        <v>0</v>
      </c>
      <c r="G27" s="493"/>
      <c r="H27" s="503">
        <f>IF(A10="x",C27+D27-E7,IF(A17="x",C27+D27+E27-E7,C27-E7))</f>
        <v>0</v>
      </c>
      <c r="I27" s="504" t="s">
        <v>252</v>
      </c>
      <c r="J27" s="494"/>
      <c r="K27" s="486"/>
    </row>
    <row r="28" spans="1:11" s="137" customFormat="1" ht="18.5" x14ac:dyDescent="0.45">
      <c r="A28" s="20" t="s">
        <v>196</v>
      </c>
      <c r="B28" s="21"/>
      <c r="C28" s="22" t="e">
        <f>IF(A10="x",C13,IF(A17="x",C20,E6))</f>
        <v>#DIV/0!</v>
      </c>
      <c r="D28" s="22" t="str">
        <f>IF(A10="x",C14,IF(A17="x",C21,""))</f>
        <v/>
      </c>
      <c r="E28" s="22" t="str">
        <f>IF(A10="x","",IF(A17="x",C22,""))</f>
        <v/>
      </c>
      <c r="F28" s="22" t="e">
        <f>+'E Mietber.'!I8</f>
        <v>#DIV/0!</v>
      </c>
      <c r="G28" s="495"/>
      <c r="H28" s="505" t="e">
        <f>ROUNDDOWN(IF(A10="x",(C27*C28+D27*D28-E8),IF(A17="x",(C28*C27+D28*D27+E28*E27)-E8,C28*C27-E8)),0)</f>
        <v>#DIV/0!</v>
      </c>
      <c r="I28" s="504" t="s">
        <v>253</v>
      </c>
      <c r="J28" s="494"/>
      <c r="K28" s="486"/>
    </row>
    <row r="29" spans="1:11" s="137" customFormat="1" ht="18.5" x14ac:dyDescent="0.45">
      <c r="A29" s="20" t="s">
        <v>67</v>
      </c>
      <c r="B29" s="23"/>
      <c r="C29" s="24" t="e">
        <f>+'E Mietber.'!H10</f>
        <v>#DIV/0!</v>
      </c>
      <c r="D29" s="24" t="str">
        <f>IF(A10="x",'E Mietber.'!H10,IF(A17="X",'E Mietber.'!H10,""))</f>
        <v/>
      </c>
      <c r="E29" s="24" t="str">
        <f>IF(A10="x","",IF(A17="x",'E Mietber.'!H10,""))</f>
        <v/>
      </c>
      <c r="F29" s="22" t="e">
        <f>+'E Mietber.'!I10</f>
        <v>#DIV/0!</v>
      </c>
      <c r="G29" s="495"/>
      <c r="H29" s="491"/>
      <c r="I29" s="79"/>
      <c r="J29" s="494"/>
      <c r="K29" s="486"/>
    </row>
    <row r="30" spans="1:11" s="137" customFormat="1" ht="18.5" x14ac:dyDescent="0.45">
      <c r="A30" s="20" t="s">
        <v>121</v>
      </c>
      <c r="B30" s="21"/>
      <c r="C30" s="22" t="e">
        <f>+'E Mietber.'!H9</f>
        <v>#VALUE!</v>
      </c>
      <c r="D30" s="22" t="str">
        <f>IF(A10="x",'E Mietber.'!H9,IF(A17="X",'E Mietber.'!H9,""))</f>
        <v/>
      </c>
      <c r="E30" s="22" t="str">
        <f>IF(A10="x","",IF(A17="x",'E Mietber.'!H9,""))</f>
        <v/>
      </c>
      <c r="F30" s="22" t="e">
        <f>+'E Mietber.'!I9</f>
        <v>#VALUE!</v>
      </c>
      <c r="G30" s="495"/>
      <c r="H30" s="491"/>
      <c r="I30" s="79"/>
      <c r="J30" s="494"/>
      <c r="K30" s="486"/>
    </row>
    <row r="31" spans="1:11" s="137" customFormat="1" ht="18.5" x14ac:dyDescent="0.45">
      <c r="A31" s="20" t="s">
        <v>242</v>
      </c>
      <c r="B31" s="21"/>
      <c r="C31" s="22">
        <f>+'E Mietber.'!H12</f>
        <v>0</v>
      </c>
      <c r="D31" s="22" t="str">
        <f>IF(A10="x",'E Mietber.'!H12,IF(A17="X",'E Mietber.'!H12,""))</f>
        <v/>
      </c>
      <c r="E31" s="22" t="str">
        <f>IF(A10="x","",IF(A17="x",'E Mietber.'!H12,""))</f>
        <v/>
      </c>
      <c r="F31" s="22" t="e">
        <f>+'E Mietber.'!I12</f>
        <v>#DIV/0!</v>
      </c>
      <c r="G31" s="495"/>
      <c r="H31" s="491"/>
      <c r="I31" s="79"/>
      <c r="J31" s="494"/>
      <c r="K31" s="486"/>
    </row>
    <row r="32" spans="1:11" s="137" customFormat="1" ht="18.5" x14ac:dyDescent="0.45">
      <c r="A32" s="20" t="s">
        <v>243</v>
      </c>
      <c r="B32" s="21"/>
      <c r="C32" s="22">
        <f>+'E Mietber.'!H13</f>
        <v>0</v>
      </c>
      <c r="D32" s="22" t="str">
        <f>IF(A10="x",'E Mietber.'!H13,IF(A17="X",'E Mietber.'!H13,""))</f>
        <v/>
      </c>
      <c r="E32" s="22" t="str">
        <f>IF(A10="x","",IF(A17="x",'E Mietber.'!H13,""))</f>
        <v/>
      </c>
      <c r="F32" s="22">
        <f>+'E Mietber.'!I13</f>
        <v>0</v>
      </c>
      <c r="G32" s="495"/>
      <c r="H32" s="491"/>
      <c r="I32" s="79"/>
      <c r="J32" s="494"/>
      <c r="K32" s="486"/>
    </row>
    <row r="33" spans="1:11" s="137" customFormat="1" ht="19" thickBot="1" x14ac:dyDescent="0.5">
      <c r="A33" s="25" t="s">
        <v>244</v>
      </c>
      <c r="B33" s="26"/>
      <c r="C33" s="27">
        <f>+'E Mietber.'!H14</f>
        <v>0</v>
      </c>
      <c r="D33" s="27" t="str">
        <f>IF(A10="x",'E Mietber.'!H14,IF(A17="X",'E Mietber.'!H14,""))</f>
        <v/>
      </c>
      <c r="E33" s="27" t="str">
        <f>IF(A10="x","",IF(A17="x",'E Mietber.'!H14,""))</f>
        <v/>
      </c>
      <c r="F33" s="27">
        <f>+'E Mietber.'!I14</f>
        <v>0</v>
      </c>
      <c r="G33" s="495"/>
      <c r="H33" s="491"/>
      <c r="I33" s="79"/>
      <c r="J33" s="494"/>
      <c r="K33" s="486"/>
    </row>
    <row r="34" spans="1:11" s="137" customFormat="1" ht="19" thickTop="1" x14ac:dyDescent="0.45">
      <c r="A34" s="28" t="s">
        <v>197</v>
      </c>
      <c r="B34" s="29"/>
      <c r="C34" s="30" t="e">
        <f>SUM(C28:C33)</f>
        <v>#DIV/0!</v>
      </c>
      <c r="D34" s="30" t="str">
        <f>IF(A10="x",SUM(D28:D33),IF(A17="X",SUM(D28:D33),""))</f>
        <v/>
      </c>
      <c r="E34" s="30" t="str">
        <f>IF(A10="x","",IF(A17="x",SUM(E28:E33),""))</f>
        <v/>
      </c>
      <c r="F34" s="30" t="e">
        <f>+SUM(F28:F33)</f>
        <v>#DIV/0!</v>
      </c>
      <c r="G34" s="495"/>
      <c r="H34" s="505" t="e">
        <f>ROUNDDOWN(IF(A10="x",(C34*C27+D34*D27+F34*F27)-'Erg.-Übersicht'!D20*'Erg.-Übersicht'!D8,IF(A17="x",(C34*C27+D34*D27+E34*E27+F34*F27)-'Erg.-Übersicht'!D20*'Erg.-Übersicht'!D8,C34*C27+F34*F27-'Erg.-Übersicht'!D20*'Erg.-Übersicht'!D8)),0)</f>
        <v>#DIV/0!</v>
      </c>
      <c r="I34" s="504" t="s">
        <v>260</v>
      </c>
      <c r="J34" s="494"/>
      <c r="K34" s="486"/>
    </row>
    <row r="35" spans="1:11" s="137" customFormat="1" ht="15" thickBot="1" x14ac:dyDescent="0.4">
      <c r="A35" s="31"/>
      <c r="B35" s="3"/>
      <c r="C35" s="32"/>
      <c r="D35" s="32"/>
      <c r="E35" s="32"/>
      <c r="F35" s="33"/>
      <c r="G35" s="491"/>
      <c r="H35" s="491"/>
      <c r="I35" s="79"/>
      <c r="J35" s="494"/>
      <c r="K35" s="486"/>
    </row>
    <row r="36" spans="1:11" s="137" customFormat="1" ht="19" thickTop="1" x14ac:dyDescent="0.45">
      <c r="A36" s="34" t="s">
        <v>199</v>
      </c>
      <c r="B36" s="35"/>
      <c r="C36" s="1050" t="e">
        <f>IF(C34&gt;('E Mietber.'!H22+'E Mietber.'!F29),('E Mietber.'!H22+'E Mietber.'!F29),C34)</f>
        <v>#DIV/0!</v>
      </c>
      <c r="D36" s="1050" t="str">
        <f>IF(A10="x",IF(D34&gt;('E Mietber.'!H22+'E Mietber.'!F29),('E Mietber.'!H22+'E Mietber.'!F29),D34),IF(A17="x",IF(D34&gt;('E Mietber.'!H22+'E Mietber.'!F29),('E Mietber.'!H22+'E Mietber.'!F29),D34),""))</f>
        <v/>
      </c>
      <c r="E36" s="1050" t="str">
        <f>IF(A10="x","",IF(A17="x",IF(E34&gt;('E Mietber.'!H22+'E Mietber.'!F29),('E Mietber.'!H22+'E Mietber.'!F29),E34),""))</f>
        <v/>
      </c>
      <c r="F36" s="1052"/>
      <c r="G36" s="496"/>
      <c r="H36" s="491"/>
      <c r="I36" s="79"/>
      <c r="J36" s="494"/>
      <c r="K36" s="486"/>
    </row>
    <row r="37" spans="1:11" s="137" customFormat="1" ht="15" thickBot="1" x14ac:dyDescent="0.4">
      <c r="A37" s="592" t="s">
        <v>200</v>
      </c>
      <c r="B37" s="36"/>
      <c r="C37" s="1051"/>
      <c r="D37" s="1051"/>
      <c r="E37" s="1051"/>
      <c r="F37" s="1053"/>
      <c r="G37" s="497"/>
      <c r="H37" s="491"/>
      <c r="I37" s="79"/>
      <c r="J37" s="494"/>
      <c r="K37" s="486"/>
    </row>
    <row r="38" spans="1:11" s="137" customFormat="1" ht="15" thickTop="1" x14ac:dyDescent="0.35">
      <c r="A38" s="723" t="e">
        <f>+IF('E Mietber.'!H24&lt;0,"Achtung! Da KdU&lt;100% ggfs Regelsatz-Absenkung für Nebenkosten wegen anderweitiger Bedarfsdeckung","")</f>
        <v>#DIV/0!</v>
      </c>
      <c r="B38" s="37"/>
      <c r="C38" s="3"/>
      <c r="D38" s="3"/>
      <c r="E38" s="3"/>
      <c r="F38" s="7"/>
      <c r="G38" s="490"/>
      <c r="H38" s="491"/>
      <c r="I38" s="79"/>
      <c r="J38" s="494"/>
      <c r="K38" s="486"/>
    </row>
    <row r="39" spans="1:11" s="137" customFormat="1" ht="18.5" x14ac:dyDescent="0.45">
      <c r="A39" s="1021" t="s">
        <v>201</v>
      </c>
      <c r="B39" s="1030"/>
      <c r="C39" s="1043" t="e">
        <f>+C34-C36</f>
        <v>#DIV/0!</v>
      </c>
      <c r="D39" s="1043" t="str">
        <f>IF(A10="x",D34-D36,IF(A17="X",D34-D36,""))</f>
        <v/>
      </c>
      <c r="E39" s="1043" t="str">
        <f>IF(A10="x","",IF(A17="x",E34-E36,""))</f>
        <v/>
      </c>
      <c r="F39" s="1041"/>
      <c r="G39" s="496"/>
      <c r="H39" s="491"/>
      <c r="I39" s="79"/>
      <c r="J39" s="494"/>
      <c r="K39" s="486"/>
    </row>
    <row r="40" spans="1:11" s="137" customFormat="1" x14ac:dyDescent="0.35">
      <c r="A40" s="1022" t="s">
        <v>254</v>
      </c>
      <c r="B40" s="1031"/>
      <c r="C40" s="1044"/>
      <c r="D40" s="1044"/>
      <c r="E40" s="1044"/>
      <c r="F40" s="1184"/>
      <c r="G40" s="497"/>
      <c r="H40" s="491"/>
      <c r="I40" s="79"/>
      <c r="J40" s="494"/>
      <c r="K40" s="486"/>
    </row>
    <row r="41" spans="1:11" s="137" customFormat="1" x14ac:dyDescent="0.35">
      <c r="A41" s="1022"/>
      <c r="B41" s="1031"/>
      <c r="C41" s="1023" t="s">
        <v>376</v>
      </c>
      <c r="D41" s="1023" t="s">
        <v>376</v>
      </c>
      <c r="E41" s="1023" t="s">
        <v>376</v>
      </c>
      <c r="F41" s="1024"/>
      <c r="G41" s="497"/>
      <c r="H41" s="491"/>
      <c r="I41" s="79"/>
      <c r="J41" s="494"/>
      <c r="K41" s="486"/>
    </row>
    <row r="42" spans="1:11" s="137" customFormat="1" x14ac:dyDescent="0.35">
      <c r="A42" s="1032"/>
      <c r="B42" s="1033"/>
      <c r="C42" s="1026" t="e">
        <f>+C39/30.42</f>
        <v>#DIV/0!</v>
      </c>
      <c r="D42" s="1026" t="e">
        <f>+D39/30.42</f>
        <v>#VALUE!</v>
      </c>
      <c r="E42" s="1026" t="e">
        <f>+E39/30.42</f>
        <v>#VALUE!</v>
      </c>
      <c r="F42" s="1027"/>
      <c r="G42" s="497"/>
      <c r="H42" s="491"/>
      <c r="I42" s="79"/>
      <c r="J42" s="494"/>
      <c r="K42" s="486"/>
    </row>
    <row r="43" spans="1:11" s="137" customFormat="1" ht="18.5" x14ac:dyDescent="0.45">
      <c r="A43" s="1021" t="s">
        <v>202</v>
      </c>
      <c r="B43" s="1034"/>
      <c r="C43" s="1041" t="e">
        <f>F34</f>
        <v>#DIV/0!</v>
      </c>
      <c r="D43" s="1041" t="str">
        <f>IF(A10="x",F34,IF(A17="x",F34,""))</f>
        <v/>
      </c>
      <c r="E43" s="1041" t="str">
        <f>IF(A10="x","",IF(A17="x",F34,""))</f>
        <v/>
      </c>
      <c r="F43" s="1043" t="e">
        <f>+'E Mietber.'!I46</f>
        <v>#DIV/0!</v>
      </c>
      <c r="G43" s="496"/>
      <c r="H43" s="491"/>
      <c r="I43" s="79"/>
      <c r="J43" s="494"/>
      <c r="K43" s="486"/>
    </row>
    <row r="44" spans="1:11" s="137" customFormat="1" ht="18.5" x14ac:dyDescent="0.45">
      <c r="A44" s="1029" t="s">
        <v>203</v>
      </c>
      <c r="B44" s="1035"/>
      <c r="C44" s="1173"/>
      <c r="D44" s="1173"/>
      <c r="E44" s="1173"/>
      <c r="F44" s="1044"/>
      <c r="G44" s="497"/>
      <c r="H44" s="491"/>
      <c r="I44" s="79"/>
      <c r="J44" s="494"/>
      <c r="K44" s="486"/>
    </row>
    <row r="45" spans="1:11" s="137" customFormat="1" x14ac:dyDescent="0.35">
      <c r="A45" s="1036"/>
      <c r="B45" s="1037"/>
      <c r="C45" s="1025" t="s">
        <v>376</v>
      </c>
      <c r="D45" s="1025" t="s">
        <v>376</v>
      </c>
      <c r="E45" s="1025" t="s">
        <v>376</v>
      </c>
      <c r="F45" s="1023" t="s">
        <v>376</v>
      </c>
      <c r="G45" s="497"/>
      <c r="H45" s="491"/>
      <c r="I45" s="79"/>
      <c r="J45" s="494"/>
      <c r="K45" s="486"/>
    </row>
    <row r="46" spans="1:11" s="137" customFormat="1" ht="15" thickBot="1" x14ac:dyDescent="0.4">
      <c r="A46" s="1036"/>
      <c r="B46" s="1037"/>
      <c r="C46" s="1028" t="e">
        <f t="shared" ref="C46:D46" si="2">+C43/30.42</f>
        <v>#DIV/0!</v>
      </c>
      <c r="D46" s="1028" t="e">
        <f t="shared" si="2"/>
        <v>#VALUE!</v>
      </c>
      <c r="E46" s="1028" t="e">
        <f>+E43/30.42</f>
        <v>#VALUE!</v>
      </c>
      <c r="F46" s="1026" t="e">
        <f>+F43/30.42</f>
        <v>#DIV/0!</v>
      </c>
      <c r="G46" s="497"/>
      <c r="H46" s="491"/>
      <c r="I46" s="79"/>
      <c r="J46" s="494"/>
      <c r="K46" s="486"/>
    </row>
    <row r="47" spans="1:11" s="137" customFormat="1" ht="19" thickTop="1" x14ac:dyDescent="0.45">
      <c r="A47" s="34" t="s">
        <v>204</v>
      </c>
      <c r="B47" s="35"/>
      <c r="C47" s="1178" t="e">
        <f>+C43+C39</f>
        <v>#DIV/0!</v>
      </c>
      <c r="D47" s="1178" t="str">
        <f>IF(A10="x",D43+D39,IF(A17="x",D43+D39,""))</f>
        <v/>
      </c>
      <c r="E47" s="1178" t="str">
        <f>IF(A10="x","",IF(A17="x",E43+E39,""))</f>
        <v/>
      </c>
      <c r="F47" s="1046"/>
      <c r="G47" s="498"/>
      <c r="H47" s="491"/>
      <c r="I47" s="79"/>
      <c r="J47" s="494"/>
      <c r="K47" s="486"/>
    </row>
    <row r="48" spans="1:11" s="137" customFormat="1" ht="19" thickBot="1" x14ac:dyDescent="0.5">
      <c r="A48" s="40" t="s">
        <v>205</v>
      </c>
      <c r="B48" s="41"/>
      <c r="C48" s="1179"/>
      <c r="D48" s="1179"/>
      <c r="E48" s="1179"/>
      <c r="F48" s="1047"/>
      <c r="G48" s="499"/>
      <c r="H48" s="491"/>
      <c r="I48" s="79"/>
      <c r="J48" s="494"/>
      <c r="K48" s="486"/>
    </row>
    <row r="49" spans="1:11" s="137" customFormat="1" ht="15.5" thickTop="1" thickBot="1" x14ac:dyDescent="0.4">
      <c r="A49" s="31"/>
      <c r="B49" s="3"/>
      <c r="C49" s="3"/>
      <c r="D49" s="3"/>
      <c r="E49" s="3"/>
      <c r="F49" s="7"/>
      <c r="G49" s="490"/>
      <c r="H49" s="491"/>
      <c r="I49" s="79"/>
      <c r="J49" s="494"/>
      <c r="K49" s="486"/>
    </row>
    <row r="50" spans="1:11" s="137" customFormat="1" ht="19" thickBot="1" x14ac:dyDescent="0.5">
      <c r="A50" s="42" t="s">
        <v>197</v>
      </c>
      <c r="B50" s="43"/>
      <c r="C50" s="44" t="e">
        <f>+C47+C36</f>
        <v>#DIV/0!</v>
      </c>
      <c r="D50" s="45" t="str">
        <f>IF(A10="x",D47+D36,IF(A17="x",D47+D36,""))</f>
        <v/>
      </c>
      <c r="E50" s="46" t="str">
        <f>IF(A10="x","",IF(A17="x",E47+E36,""))</f>
        <v/>
      </c>
      <c r="F50" s="7"/>
      <c r="G50" s="490"/>
      <c r="H50" s="505" t="e">
        <f>ROUNDDOWN(IF(A10="x",(C50*C27+D50*D27-'Erg.-Übersicht'!D20*'Erg.-Übersicht'!D8),(C50*C27+D50*D27+E50*E27-'Erg.-Übersicht'!D20*'Erg.-Übersicht'!D8)),0)</f>
        <v>#DIV/0!</v>
      </c>
      <c r="I50" s="504" t="s">
        <v>260</v>
      </c>
      <c r="J50" s="494"/>
      <c r="K50" s="486"/>
    </row>
    <row r="51" spans="1:11" s="137" customFormat="1" ht="14.25" customHeight="1" x14ac:dyDescent="0.35">
      <c r="A51" s="31"/>
      <c r="B51" s="3"/>
      <c r="C51" s="3"/>
      <c r="D51" s="3"/>
      <c r="E51" s="3"/>
      <c r="F51" s="7"/>
      <c r="G51" s="490"/>
      <c r="H51" s="491"/>
      <c r="I51" s="79"/>
      <c r="J51" s="494"/>
      <c r="K51" s="486"/>
    </row>
    <row r="52" spans="1:11" s="137" customFormat="1" ht="18.5" x14ac:dyDescent="0.45">
      <c r="A52" s="47" t="s">
        <v>293</v>
      </c>
      <c r="B52" s="48"/>
      <c r="C52" s="3"/>
      <c r="D52" s="3"/>
      <c r="E52" s="3"/>
      <c r="F52" s="7"/>
      <c r="G52" s="490"/>
      <c r="H52" s="491"/>
      <c r="I52" s="79"/>
      <c r="J52" s="494"/>
      <c r="K52" s="486"/>
    </row>
    <row r="53" spans="1:11" s="137" customFormat="1" ht="18.5" x14ac:dyDescent="0.45">
      <c r="A53" s="47" t="s">
        <v>206</v>
      </c>
      <c r="B53" s="48"/>
      <c r="C53" s="49"/>
      <c r="D53" s="3"/>
      <c r="E53" s="3"/>
      <c r="F53" s="7"/>
      <c r="G53" s="490"/>
      <c r="H53" s="491"/>
      <c r="I53" s="79"/>
      <c r="J53" s="494"/>
      <c r="K53" s="486"/>
    </row>
    <row r="54" spans="1:11" s="137" customFormat="1" x14ac:dyDescent="0.35">
      <c r="A54" s="1174" t="s">
        <v>207</v>
      </c>
      <c r="B54" s="1175"/>
      <c r="C54" s="50" t="e">
        <f>+C29</f>
        <v>#DIV/0!</v>
      </c>
      <c r="D54" s="50" t="str">
        <f>IF(A10="x",D29,IF(A17="x",D29,""))</f>
        <v/>
      </c>
      <c r="E54" s="50" t="str">
        <f>IF(A10="x","",IF(A17="x",E29,""))</f>
        <v/>
      </c>
      <c r="F54" s="7"/>
      <c r="G54" s="490"/>
      <c r="H54" s="491"/>
      <c r="I54" s="79"/>
      <c r="J54" s="494"/>
      <c r="K54" s="486"/>
    </row>
    <row r="55" spans="1:11" s="137" customFormat="1" x14ac:dyDescent="0.35">
      <c r="A55" s="1174" t="s">
        <v>208</v>
      </c>
      <c r="B55" s="1175"/>
      <c r="C55" s="50" t="e">
        <f>'C_1 Nebenk.'!E44*'A Flächen'!F184</f>
        <v>#VALUE!</v>
      </c>
      <c r="D55" s="50" t="str">
        <f>IF(A10="x",'C_1 Nebenk.'!E44*'A Flächen'!F184,IF(A17="x",'C_1 Nebenk.'!E44*'A Flächen'!F184,""))</f>
        <v/>
      </c>
      <c r="E55" s="50" t="str">
        <f>IF(A10="x","",IF(A17="x",'C_1 Nebenk.'!E44*'A Flächen'!F184,""))</f>
        <v/>
      </c>
      <c r="F55" s="7"/>
      <c r="G55" s="490"/>
      <c r="H55" s="491"/>
      <c r="I55" s="79"/>
      <c r="J55" s="494"/>
      <c r="K55" s="486"/>
    </row>
    <row r="56" spans="1:11" s="137" customFormat="1" ht="46.5" customHeight="1" x14ac:dyDescent="0.35">
      <c r="A56" s="1174" t="s">
        <v>295</v>
      </c>
      <c r="B56" s="1175"/>
      <c r="C56" s="50" t="e">
        <f>'B_1 Geb. Kaltmiete'!D109*'A Flächen'!E184*365/12</f>
        <v>#DIV/0!</v>
      </c>
      <c r="D56" s="50" t="str">
        <f>IF(A10="x",'B_1 Geb. Kaltmiete'!D109*'A Flächen'!E184*365/12,IF(A17="x",'B_1 Geb. Kaltmiete'!D109*'A Flächen'!E184*365/12,""))</f>
        <v/>
      </c>
      <c r="E56" s="50" t="str">
        <f>IF(A10="x","",IF(A17="x",'B_1 Geb. Kaltmiete'!D109*'A Flächen'!E184*365/12,""))</f>
        <v/>
      </c>
      <c r="F56" s="7"/>
      <c r="G56" s="490"/>
      <c r="H56" s="491"/>
      <c r="I56" s="79"/>
      <c r="J56" s="494"/>
      <c r="K56" s="486"/>
    </row>
    <row r="57" spans="1:11" s="137" customFormat="1" ht="29.25" customHeight="1" x14ac:dyDescent="0.35">
      <c r="A57" s="1174" t="s">
        <v>209</v>
      </c>
      <c r="B57" s="1175"/>
      <c r="C57" s="50" t="e">
        <f>+'C_1 Nebenk.'!E41</f>
        <v>#VALUE!</v>
      </c>
      <c r="D57" s="50" t="str">
        <f>IF(A10="x",'C_1 Nebenk.'!E41,IF(A17="x",'C_1 Nebenk.'!E41,""))</f>
        <v/>
      </c>
      <c r="E57" s="50" t="str">
        <f>IF(A10="x","",IF(A17="x",'C_1 Nebenk.'!E41,""))</f>
        <v/>
      </c>
      <c r="F57" s="7"/>
      <c r="G57" s="490"/>
      <c r="H57" s="491"/>
      <c r="I57" s="79"/>
      <c r="J57" s="494"/>
      <c r="K57" s="486"/>
    </row>
    <row r="58" spans="1:11" s="137" customFormat="1" ht="30.75" customHeight="1" thickBot="1" x14ac:dyDescent="0.4">
      <c r="A58" s="1176" t="s">
        <v>294</v>
      </c>
      <c r="B58" s="1177"/>
      <c r="C58" s="51" t="str">
        <f>IFERROR(IF(C34-C54-C55-C56-C57-'E Mietber.'!H21&gt;0,C34-C54-C55-C56-C57-'E Mietber.'!H21,""),"")</f>
        <v/>
      </c>
      <c r="D58" s="51" t="str">
        <f>IFERROR(IF(D34-D54-D55-D56-D57-'E Mietber.'!H21&gt;0,(IF(A10="x",D34-D54-D55-D56-D57-'E Mietber.'!H21,IF(A17="x",D34-D54-D55-D56-D57-'E Mietber.'!H21,""))),""),"")</f>
        <v/>
      </c>
      <c r="E58" s="51" t="str">
        <f>IFERROR(IF(E34-E54-E55-E56-E57-'E Mietber.'!H21&gt;0,(IF(A10="x","",IF(A17="x",E34-E54-E55-E56-E57-'E Mietber.'!H21,""))),""),"")</f>
        <v/>
      </c>
      <c r="F58" s="7"/>
      <c r="G58" s="490"/>
      <c r="H58" s="491"/>
      <c r="I58" s="490"/>
      <c r="J58" s="500"/>
      <c r="K58" s="501"/>
    </row>
    <row r="59" spans="1:11" s="137" customFormat="1" ht="15.5" thickTop="1" thickBot="1" x14ac:dyDescent="0.4">
      <c r="A59" s="52" t="s">
        <v>296</v>
      </c>
      <c r="B59" s="53"/>
      <c r="C59" s="54" t="e">
        <f>SUM(C54:C58)</f>
        <v>#DIV/0!</v>
      </c>
      <c r="D59" s="54" t="str">
        <f>IF(A10="x",SUM(D54:D58),IF(A17="x",SUM(D54:D58),""))</f>
        <v/>
      </c>
      <c r="E59" s="54" t="str">
        <f>IF(A10="x","",IF(A17="x",SUM(E54:E58),""))</f>
        <v/>
      </c>
      <c r="F59" s="7"/>
      <c r="G59" s="490"/>
      <c r="H59" s="500"/>
      <c r="I59" s="494"/>
    </row>
    <row r="60" spans="1:11" s="137" customFormat="1" x14ac:dyDescent="0.35">
      <c r="A60" s="564"/>
      <c r="B60" s="605"/>
      <c r="C60" s="605"/>
      <c r="D60" s="605"/>
      <c r="E60" s="605"/>
      <c r="F60" s="724"/>
      <c r="G60" s="502"/>
      <c r="H60" s="500"/>
      <c r="I60" s="494"/>
      <c r="J60" s="79"/>
    </row>
    <row r="61" spans="1:11" s="137" customFormat="1" x14ac:dyDescent="0.35">
      <c r="A61" s="561" t="s">
        <v>306</v>
      </c>
      <c r="B61" s="3"/>
      <c r="C61" s="3"/>
      <c r="D61" s="3"/>
      <c r="E61" s="3"/>
      <c r="F61" s="7"/>
      <c r="G61" s="490"/>
      <c r="H61" s="491"/>
      <c r="I61" s="79"/>
      <c r="J61" s="79"/>
    </row>
    <row r="62" spans="1:11" x14ac:dyDescent="0.35">
      <c r="A62" s="562" t="s">
        <v>310</v>
      </c>
      <c r="B62" s="563"/>
      <c r="C62" s="563"/>
      <c r="D62" s="1"/>
      <c r="E62" s="563"/>
      <c r="F62" s="7"/>
      <c r="G62" s="490"/>
      <c r="H62" s="491"/>
      <c r="I62" s="79"/>
      <c r="J62" s="425"/>
    </row>
    <row r="63" spans="1:11" x14ac:dyDescent="0.35">
      <c r="A63" s="564" t="s">
        <v>309</v>
      </c>
      <c r="B63" s="564"/>
      <c r="C63" s="8">
        <f>+'E Mietber.'!H21</f>
        <v>0</v>
      </c>
      <c r="D63" s="8" t="str">
        <f>IF(A10="x",'E Mietber.'!H21,IF(A17="x",'E Mietber.'!H21,""))</f>
        <v/>
      </c>
      <c r="E63" s="8" t="str">
        <f>IF(A10="x","",IF(A17="x",'E Mietber.'!H21,""))</f>
        <v/>
      </c>
      <c r="F63" s="7"/>
      <c r="G63" s="490"/>
      <c r="H63" s="505" t="e">
        <f>ROUNDDOWN(IF(A10="x",(C63+D63-2*'E Mietber.'!H21),('Zimmer-Kat.'!C63+'Zimmer-Kat.'!D63+'Zimmer-Kat.'!E63-3*'E Mietber.'!H21)),0)</f>
        <v>#VALUE!</v>
      </c>
      <c r="I63" s="504" t="s">
        <v>6</v>
      </c>
      <c r="J63" s="425"/>
    </row>
    <row r="64" spans="1:11" x14ac:dyDescent="0.35">
      <c r="A64" s="565" t="s">
        <v>308</v>
      </c>
      <c r="B64" s="565"/>
      <c r="C64" s="566" t="e">
        <f>C34/C63-1</f>
        <v>#DIV/0!</v>
      </c>
      <c r="D64" s="566" t="str">
        <f>IF(A10="x",D34/D63-1,IF(A17="x",D34/D63-1,""))</f>
        <v/>
      </c>
      <c r="E64" s="566" t="str">
        <f>IF(A10="x","",IF(A17="x",E34/E63-1,""))</f>
        <v/>
      </c>
      <c r="F64" s="7"/>
      <c r="G64" s="490"/>
      <c r="H64" s="505" t="e">
        <f>ROUNDDOWN(IF(A10="x",((C64*C27+D64*D27)/(C27+D27)-'Erg.-Übersicht'!B50),((C64*C27+D64*D27+E64*E27)/(C27+D27+E27)-'Erg.-Übersicht'!B50)),0)</f>
        <v>#DIV/0!</v>
      </c>
      <c r="I64" s="504" t="s">
        <v>6</v>
      </c>
      <c r="J64" s="425"/>
    </row>
    <row r="65" spans="1:10" x14ac:dyDescent="0.35">
      <c r="A65" s="565" t="s">
        <v>305</v>
      </c>
      <c r="B65" s="565"/>
      <c r="C65" s="8">
        <f>+'Erg.-Übersicht'!B49*1.25</f>
        <v>0</v>
      </c>
      <c r="D65" s="8" t="str">
        <f>IF(A10="x",'Erg.-Übersicht'!B49*1.25,IF(A17="x",'Erg.-Übersicht'!B49*1.25,""))</f>
        <v/>
      </c>
      <c r="E65" s="8" t="str">
        <f>IF(A10="x","",IF(A17="x",'Erg.-Übersicht'!B49*1.25,""))</f>
        <v/>
      </c>
      <c r="F65" s="724"/>
      <c r="G65" s="490"/>
      <c r="H65" s="505" t="e">
        <f>ROUNDDOWN(IF(A10="x",(C65+D65-2*('E Mietber.'!H21+'E Mietber.'!F29)),('Zimmer-Kat.'!C65+'Zimmer-Kat.'!D65+'Zimmer-Kat.'!E65-3*('E Mietber.'!H21+'E Mietber.'!F29))),0)</f>
        <v>#VALUE!</v>
      </c>
      <c r="I65" s="504" t="s">
        <v>6</v>
      </c>
      <c r="J65" s="425"/>
    </row>
    <row r="66" spans="1:10" x14ac:dyDescent="0.35">
      <c r="H66" s="425"/>
      <c r="I66" s="425"/>
      <c r="J66" s="425"/>
    </row>
    <row r="67" spans="1:10" x14ac:dyDescent="0.35">
      <c r="H67" s="425"/>
      <c r="I67" s="425"/>
      <c r="J67" s="425"/>
    </row>
    <row r="68" spans="1:10" x14ac:dyDescent="0.35">
      <c r="H68" s="425"/>
      <c r="I68" s="425"/>
      <c r="J68" s="425"/>
    </row>
    <row r="69" spans="1:10" x14ac:dyDescent="0.35">
      <c r="H69" s="425"/>
      <c r="I69" s="425"/>
      <c r="J69" s="425"/>
    </row>
    <row r="70" spans="1:10" x14ac:dyDescent="0.35">
      <c r="H70" s="425"/>
      <c r="I70" s="425"/>
      <c r="J70" s="425"/>
    </row>
    <row r="71" spans="1:10" x14ac:dyDescent="0.35">
      <c r="H71" s="425"/>
      <c r="I71" s="425"/>
      <c r="J71" s="425"/>
    </row>
    <row r="72" spans="1:10" x14ac:dyDescent="0.35">
      <c r="H72" s="425"/>
      <c r="I72" s="425"/>
      <c r="J72" s="425"/>
    </row>
    <row r="73" spans="1:10" x14ac:dyDescent="0.35">
      <c r="H73" s="425"/>
      <c r="I73" s="425"/>
      <c r="J73" s="425"/>
    </row>
    <row r="74" spans="1:10" x14ac:dyDescent="0.35">
      <c r="H74" s="425"/>
      <c r="I74" s="425"/>
      <c r="J74" s="425"/>
    </row>
    <row r="75" spans="1:10" x14ac:dyDescent="0.35">
      <c r="H75" s="425"/>
      <c r="I75" s="425"/>
      <c r="J75" s="425"/>
    </row>
    <row r="76" spans="1:10" x14ac:dyDescent="0.35">
      <c r="H76" s="425"/>
      <c r="I76" s="425"/>
      <c r="J76" s="425"/>
    </row>
    <row r="77" spans="1:10" x14ac:dyDescent="0.35">
      <c r="H77" s="425"/>
      <c r="I77" s="425"/>
      <c r="J77" s="425"/>
    </row>
    <row r="78" spans="1:10" x14ac:dyDescent="0.35">
      <c r="H78" s="425"/>
      <c r="I78" s="425"/>
      <c r="J78" s="425"/>
    </row>
    <row r="79" spans="1:10" x14ac:dyDescent="0.35">
      <c r="H79" s="425"/>
      <c r="I79" s="425"/>
      <c r="J79" s="425"/>
    </row>
    <row r="80" spans="1:10" x14ac:dyDescent="0.35">
      <c r="H80" s="425"/>
      <c r="I80" s="425"/>
      <c r="J80" s="425"/>
    </row>
    <row r="81" spans="8:10" x14ac:dyDescent="0.35">
      <c r="H81" s="425"/>
      <c r="I81" s="425"/>
      <c r="J81" s="425"/>
    </row>
    <row r="82" spans="8:10" x14ac:dyDescent="0.35">
      <c r="H82" s="425"/>
      <c r="I82" s="425"/>
      <c r="J82" s="425"/>
    </row>
    <row r="83" spans="8:10" x14ac:dyDescent="0.35">
      <c r="H83" s="425"/>
      <c r="I83" s="425"/>
      <c r="J83" s="425"/>
    </row>
    <row r="84" spans="8:10" x14ac:dyDescent="0.35">
      <c r="H84" s="425"/>
      <c r="I84" s="425"/>
      <c r="J84" s="425"/>
    </row>
    <row r="85" spans="8:10" x14ac:dyDescent="0.35">
      <c r="H85" s="425"/>
      <c r="I85" s="425"/>
      <c r="J85" s="425"/>
    </row>
    <row r="86" spans="8:10" x14ac:dyDescent="0.35">
      <c r="H86" s="425"/>
      <c r="I86" s="425"/>
      <c r="J86" s="425"/>
    </row>
    <row r="87" spans="8:10" x14ac:dyDescent="0.35">
      <c r="H87" s="425"/>
      <c r="I87" s="425"/>
      <c r="J87" s="425"/>
    </row>
    <row r="88" spans="8:10" x14ac:dyDescent="0.35">
      <c r="H88" s="425"/>
      <c r="I88" s="425"/>
      <c r="J88" s="425"/>
    </row>
    <row r="89" spans="8:10" x14ac:dyDescent="0.35">
      <c r="H89" s="425"/>
      <c r="I89" s="425"/>
      <c r="J89" s="425"/>
    </row>
    <row r="90" spans="8:10" x14ac:dyDescent="0.35">
      <c r="H90" s="425"/>
      <c r="I90" s="425"/>
      <c r="J90" s="425"/>
    </row>
    <row r="91" spans="8:10" x14ac:dyDescent="0.35">
      <c r="H91" s="425"/>
      <c r="I91" s="425"/>
      <c r="J91" s="425"/>
    </row>
    <row r="92" spans="8:10" x14ac:dyDescent="0.35">
      <c r="H92" s="425"/>
      <c r="I92" s="425"/>
      <c r="J92" s="425"/>
    </row>
    <row r="93" spans="8:10" x14ac:dyDescent="0.35">
      <c r="H93" s="425"/>
      <c r="I93" s="425"/>
      <c r="J93" s="425"/>
    </row>
    <row r="94" spans="8:10" x14ac:dyDescent="0.35">
      <c r="H94" s="425"/>
      <c r="I94" s="425"/>
      <c r="J94" s="425"/>
    </row>
    <row r="95" spans="8:10" x14ac:dyDescent="0.35">
      <c r="H95" s="425"/>
      <c r="I95" s="425"/>
      <c r="J95" s="425"/>
    </row>
    <row r="96" spans="8:10" x14ac:dyDescent="0.35">
      <c r="H96" s="425"/>
      <c r="I96" s="425"/>
      <c r="J96" s="425"/>
    </row>
    <row r="97" spans="8:10" x14ac:dyDescent="0.35">
      <c r="H97" s="425"/>
      <c r="I97" s="425"/>
      <c r="J97" s="425"/>
    </row>
    <row r="98" spans="8:10" x14ac:dyDescent="0.35">
      <c r="H98" s="425"/>
      <c r="I98" s="425"/>
      <c r="J98" s="425"/>
    </row>
    <row r="99" spans="8:10" x14ac:dyDescent="0.35">
      <c r="H99" s="425"/>
      <c r="I99" s="425"/>
      <c r="J99" s="425"/>
    </row>
    <row r="100" spans="8:10" x14ac:dyDescent="0.35">
      <c r="H100" s="425"/>
      <c r="I100" s="425"/>
      <c r="J100" s="425"/>
    </row>
    <row r="101" spans="8:10" x14ac:dyDescent="0.35">
      <c r="H101" s="425"/>
      <c r="I101" s="425"/>
      <c r="J101" s="425"/>
    </row>
    <row r="102" spans="8:10" x14ac:dyDescent="0.35">
      <c r="H102" s="425"/>
      <c r="I102" s="425"/>
      <c r="J102" s="425"/>
    </row>
    <row r="103" spans="8:10" x14ac:dyDescent="0.35">
      <c r="H103" s="425"/>
      <c r="I103" s="425"/>
      <c r="J103" s="425"/>
    </row>
    <row r="104" spans="8:10" x14ac:dyDescent="0.35">
      <c r="H104" s="425"/>
      <c r="I104" s="425"/>
      <c r="J104" s="425"/>
    </row>
    <row r="105" spans="8:10" x14ac:dyDescent="0.35">
      <c r="H105" s="425"/>
      <c r="I105" s="425"/>
      <c r="J105" s="425"/>
    </row>
    <row r="106" spans="8:10" x14ac:dyDescent="0.35">
      <c r="H106" s="425"/>
      <c r="I106" s="425"/>
      <c r="J106" s="425"/>
    </row>
    <row r="107" spans="8:10" x14ac:dyDescent="0.35">
      <c r="H107" s="425"/>
      <c r="I107" s="425"/>
      <c r="J107" s="425"/>
    </row>
    <row r="108" spans="8:10" x14ac:dyDescent="0.35">
      <c r="H108" s="425"/>
      <c r="I108" s="425"/>
      <c r="J108" s="425"/>
    </row>
  </sheetData>
  <sheetProtection algorithmName="SHA-512" hashValue="42rNlBakfVxgw55keymF0aftRmoQCA1bbv8WH3Wtvhx/lM+p+624DEqzSSYD+oXc92rZmPl7U385Mqx3NOeWiQ==" saltValue="9n8y7+XR2H8uJCem2QdZbA==" spinCount="100000" sheet="1" objects="1" scenarios="1"/>
  <mergeCells count="29">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 ref="A56:B56"/>
    <mergeCell ref="A55:B55"/>
    <mergeCell ref="A57:B57"/>
    <mergeCell ref="A58:B58"/>
    <mergeCell ref="D47:D48"/>
    <mergeCell ref="A10:A11"/>
    <mergeCell ref="A13:B13"/>
    <mergeCell ref="A14:B14"/>
    <mergeCell ref="D43:D44"/>
    <mergeCell ref="E43:E44"/>
    <mergeCell ref="E39:E40"/>
    <mergeCell ref="E36:E37"/>
    <mergeCell ref="D39:D40"/>
  </mergeCells>
  <conditionalFormatting sqref="A38:B38">
    <cfRule type="containsErrors" dxfId="32" priority="51">
      <formula>ISERROR(A38)</formula>
    </cfRule>
  </conditionalFormatting>
  <conditionalFormatting sqref="H22">
    <cfRule type="expression" dxfId="31" priority="8">
      <formula>$H$22=""</formula>
    </cfRule>
    <cfRule type="expression" dxfId="30" priority="45">
      <formula>H22&lt;&gt;0</formula>
    </cfRule>
  </conditionalFormatting>
  <conditionalFormatting sqref="A20:D21">
    <cfRule type="expression" dxfId="29" priority="35">
      <formula>$A$17="x"</formula>
    </cfRule>
  </conditionalFormatting>
  <conditionalFormatting sqref="A22:B22">
    <cfRule type="expression" dxfId="28" priority="34">
      <formula>$A$17="x"</formula>
    </cfRule>
  </conditionalFormatting>
  <conditionalFormatting sqref="A13:D13">
    <cfRule type="expression" dxfId="27" priority="33">
      <formula>$A$10="x"</formula>
    </cfRule>
  </conditionalFormatting>
  <conditionalFormatting sqref="H14">
    <cfRule type="expression" dxfId="26" priority="13">
      <formula>$H$14=""</formula>
    </cfRule>
    <cfRule type="expression" dxfId="25" priority="31">
      <formula>H14&lt;&gt;0</formula>
    </cfRule>
  </conditionalFormatting>
  <conditionalFormatting sqref="A17:A18">
    <cfRule type="expression" dxfId="24" priority="24">
      <formula>AND($A$10="x",$A$17="x")</formula>
    </cfRule>
    <cfRule type="expression" dxfId="23" priority="25">
      <formula>$A$10="x"</formula>
    </cfRule>
  </conditionalFormatting>
  <conditionalFormatting sqref="A14:B14">
    <cfRule type="expression" dxfId="22" priority="27">
      <formula>$A$10="x"</formula>
    </cfRule>
  </conditionalFormatting>
  <conditionalFormatting sqref="H27">
    <cfRule type="expression" dxfId="21" priority="20">
      <formula>H27&lt;&gt;0</formula>
    </cfRule>
  </conditionalFormatting>
  <conditionalFormatting sqref="H34">
    <cfRule type="expression" dxfId="20" priority="15">
      <formula>H34&lt;&gt;0</formula>
    </cfRule>
  </conditionalFormatting>
  <conditionalFormatting sqref="H28">
    <cfRule type="expression" dxfId="19" priority="16">
      <formula>H28&lt;&gt;0</formula>
    </cfRule>
  </conditionalFormatting>
  <conditionalFormatting sqref="H50">
    <cfRule type="expression" dxfId="18" priority="14">
      <formula>H50&lt;&gt;0</formula>
    </cfRule>
  </conditionalFormatting>
  <conditionalFormatting sqref="A10:A11">
    <cfRule type="expression" dxfId="17" priority="52">
      <formula>IF(AND($A$17="x"),($A$10=""))</formula>
    </cfRule>
    <cfRule type="expression" dxfId="16" priority="53">
      <formula>AND($A$10="x",$A$17="x")</formula>
    </cfRule>
  </conditionalFormatting>
  <conditionalFormatting sqref="H15">
    <cfRule type="expression" dxfId="15" priority="11">
      <formula>$H$14=""</formula>
    </cfRule>
    <cfRule type="expression" dxfId="14" priority="12">
      <formula>H15&lt;&gt;0</formula>
    </cfRule>
  </conditionalFormatting>
  <conditionalFormatting sqref="H16">
    <cfRule type="expression" dxfId="13" priority="9">
      <formula>$H$14=""</formula>
    </cfRule>
    <cfRule type="expression" dxfId="12" priority="10">
      <formula>H16&lt;&gt;0</formula>
    </cfRule>
  </conditionalFormatting>
  <conditionalFormatting sqref="H23">
    <cfRule type="expression" dxfId="11" priority="6">
      <formula>$H$22=""</formula>
    </cfRule>
    <cfRule type="expression" dxfId="10" priority="7">
      <formula>H23&lt;&gt;0</formula>
    </cfRule>
  </conditionalFormatting>
  <conditionalFormatting sqref="H24">
    <cfRule type="expression" dxfId="9" priority="4">
      <formula>$H$22=""</formula>
    </cfRule>
    <cfRule type="expression" dxfId="8" priority="5">
      <formula>H24&lt;&gt;0</formula>
    </cfRule>
  </conditionalFormatting>
  <conditionalFormatting sqref="H63">
    <cfRule type="expression" dxfId="7" priority="3">
      <formula>H63&lt;&gt;0</formula>
    </cfRule>
  </conditionalFormatting>
  <conditionalFormatting sqref="H65">
    <cfRule type="expression" dxfId="6" priority="2">
      <formula>H65&lt;&gt;0</formula>
    </cfRule>
  </conditionalFormatting>
  <conditionalFormatting sqref="H64">
    <cfRule type="expression" dxfId="5" priority="1">
      <formula>H64&lt;&gt;0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0"/>
  <sheetViews>
    <sheetView zoomScaleNormal="100" workbookViewId="0">
      <selection activeCell="A4" sqref="A4"/>
    </sheetView>
  </sheetViews>
  <sheetFormatPr baseColWidth="10" defaultColWidth="11.453125" defaultRowHeight="14.5" x14ac:dyDescent="0.35"/>
  <cols>
    <col min="1" max="1" width="22.7265625" style="60" customWidth="1"/>
    <col min="2" max="2" width="19.7265625" style="520" customWidth="1"/>
    <col min="3" max="3" width="13" style="60" customWidth="1"/>
    <col min="4" max="4" width="11.453125" style="60"/>
    <col min="5" max="5" width="15.453125" style="60" customWidth="1"/>
    <col min="6" max="6" width="11.453125" style="60"/>
    <col min="7" max="7" width="14.54296875" style="60" hidden="1" customWidth="1"/>
    <col min="8" max="9" width="12.1796875" style="60" hidden="1" customWidth="1"/>
    <col min="10" max="10" width="14.54296875" style="60" hidden="1" customWidth="1"/>
    <col min="11" max="16384" width="11.453125" style="60"/>
  </cols>
  <sheetData>
    <row r="1" spans="1:10" ht="26" x14ac:dyDescent="0.6">
      <c r="A1" s="607" t="s">
        <v>323</v>
      </c>
      <c r="B1" s="639"/>
      <c r="C1" s="639"/>
      <c r="D1" s="639"/>
      <c r="E1" s="640"/>
    </row>
    <row r="2" spans="1:10" ht="26" x14ac:dyDescent="0.6">
      <c r="A2" s="641" t="s">
        <v>348</v>
      </c>
      <c r="B2" s="642"/>
      <c r="C2" s="642"/>
      <c r="D2" s="643"/>
      <c r="E2" s="965" t="str">
        <f>+Stammdaten!D2</f>
        <v>Version 1.8</v>
      </c>
    </row>
    <row r="3" spans="1:10" x14ac:dyDescent="0.35">
      <c r="A3" s="381">
        <f>+Stammdaten!B5</f>
        <v>0</v>
      </c>
      <c r="B3" s="302">
        <f>+Stammdaten!B3</f>
        <v>0</v>
      </c>
      <c r="C3" s="529"/>
      <c r="D3" s="610" t="s">
        <v>40</v>
      </c>
      <c r="E3" s="611"/>
    </row>
    <row r="4" spans="1:10" ht="18.5" x14ac:dyDescent="0.45">
      <c r="A4" s="66"/>
      <c r="B4" s="336"/>
      <c r="C4" s="62"/>
      <c r="D4" s="62"/>
      <c r="E4" s="63"/>
      <c r="G4" s="89" t="s">
        <v>349</v>
      </c>
      <c r="H4" s="736"/>
      <c r="I4" s="736"/>
      <c r="J4" s="990"/>
    </row>
    <row r="5" spans="1:10" ht="73" thickBot="1" x14ac:dyDescent="0.4">
      <c r="A5" s="745" t="s">
        <v>341</v>
      </c>
      <c r="B5" s="963" t="s">
        <v>361</v>
      </c>
      <c r="C5" s="964" t="s">
        <v>353</v>
      </c>
      <c r="D5" s="62"/>
      <c r="E5" s="63"/>
      <c r="G5" s="991" t="s">
        <v>352</v>
      </c>
      <c r="H5" s="991" t="s">
        <v>347</v>
      </c>
      <c r="I5" s="991" t="s">
        <v>354</v>
      </c>
      <c r="J5" s="991" t="s">
        <v>351</v>
      </c>
    </row>
    <row r="6" spans="1:10" x14ac:dyDescent="0.35">
      <c r="A6" s="742">
        <v>2017</v>
      </c>
      <c r="B6" s="743"/>
      <c r="C6" s="526">
        <v>284.63</v>
      </c>
      <c r="D6" s="62"/>
      <c r="E6" s="63"/>
      <c r="G6" s="992">
        <v>2022</v>
      </c>
      <c r="H6" s="992">
        <v>2023</v>
      </c>
      <c r="I6" s="992" t="str">
        <f>+G6&amp;H6</f>
        <v>20222023</v>
      </c>
      <c r="J6" s="993">
        <f>(1+$B$12)</f>
        <v>1.0629999999999999</v>
      </c>
    </row>
    <row r="7" spans="1:10" x14ac:dyDescent="0.35">
      <c r="A7" s="742">
        <v>2018</v>
      </c>
      <c r="B7" s="744">
        <v>1.9E-2</v>
      </c>
      <c r="C7" s="527">
        <f t="shared" ref="C7:C8" si="0">+C6*(1+B7)</f>
        <v>290.03796999999997</v>
      </c>
      <c r="D7" s="62"/>
      <c r="E7" s="63"/>
      <c r="G7" s="994">
        <v>2022</v>
      </c>
      <c r="H7" s="994">
        <v>2024</v>
      </c>
      <c r="I7" s="994" t="str">
        <f t="shared" ref="I7:I35" si="1">+G7&amp;H7</f>
        <v>20222024</v>
      </c>
      <c r="J7" s="995">
        <f>+J6*(1+$B$13)</f>
        <v>1.0927640000000001</v>
      </c>
    </row>
    <row r="8" spans="1:10" x14ac:dyDescent="0.35">
      <c r="A8" s="742">
        <v>2019</v>
      </c>
      <c r="B8" s="744">
        <v>1.4E-2</v>
      </c>
      <c r="C8" s="527">
        <f t="shared" si="0"/>
        <v>294.09850158</v>
      </c>
      <c r="D8" s="62"/>
      <c r="E8" s="63"/>
      <c r="G8" s="994">
        <v>2022</v>
      </c>
      <c r="H8" s="994">
        <v>2025</v>
      </c>
      <c r="I8" s="992" t="str">
        <f t="shared" si="1"/>
        <v>20222025</v>
      </c>
      <c r="J8" s="995">
        <f>+J7*(1+$B$14)</f>
        <v>1.0927640000000001</v>
      </c>
    </row>
    <row r="9" spans="1:10" x14ac:dyDescent="0.35">
      <c r="A9" s="742">
        <v>2020</v>
      </c>
      <c r="B9" s="744">
        <v>5.0000000000000001E-3</v>
      </c>
      <c r="C9" s="527">
        <f>+C8*(1+B9)</f>
        <v>295.56899408789997</v>
      </c>
      <c r="D9" s="62"/>
      <c r="E9" s="63"/>
      <c r="G9" s="994">
        <v>2022</v>
      </c>
      <c r="H9" s="994">
        <v>2026</v>
      </c>
      <c r="I9" s="992" t="str">
        <f t="shared" si="1"/>
        <v>20222026</v>
      </c>
      <c r="J9" s="995">
        <f>+J8*(1+$B$15)</f>
        <v>1.0927640000000001</v>
      </c>
    </row>
    <row r="10" spans="1:10" ht="15" thickBot="1" x14ac:dyDescent="0.4">
      <c r="A10" s="742">
        <v>2021</v>
      </c>
      <c r="B10" s="744">
        <v>3.1E-2</v>
      </c>
      <c r="C10" s="527">
        <f t="shared" ref="C10:C13" si="2">+C9*(1+B10)</f>
        <v>304.73163290462486</v>
      </c>
      <c r="D10" s="62"/>
      <c r="E10" s="63"/>
      <c r="G10" s="996">
        <v>2022</v>
      </c>
      <c r="H10" s="996">
        <v>2027</v>
      </c>
      <c r="I10" s="997" t="str">
        <f t="shared" si="1"/>
        <v>20222027</v>
      </c>
      <c r="J10" s="998">
        <f>+J9*(1+$B$16)</f>
        <v>1.0927640000000001</v>
      </c>
    </row>
    <row r="11" spans="1:10" x14ac:dyDescent="0.35">
      <c r="A11" s="742">
        <v>2022</v>
      </c>
      <c r="B11" s="744">
        <v>6.9000000000000006E-2</v>
      </c>
      <c r="C11" s="527">
        <f t="shared" si="2"/>
        <v>325.75811557504397</v>
      </c>
      <c r="D11" s="62"/>
      <c r="E11" s="63"/>
      <c r="F11" s="927"/>
      <c r="G11" s="992">
        <v>2023</v>
      </c>
      <c r="H11" s="992">
        <v>2024</v>
      </c>
      <c r="I11" s="992" t="str">
        <f>+G11&amp;H11</f>
        <v>20232024</v>
      </c>
      <c r="J11" s="993">
        <f>(1+$B$13)</f>
        <v>1.028</v>
      </c>
    </row>
    <row r="12" spans="1:10" x14ac:dyDescent="0.35">
      <c r="A12" s="742">
        <v>2023</v>
      </c>
      <c r="B12" s="521">
        <v>6.3E-2</v>
      </c>
      <c r="C12" s="527">
        <f>+C11*(1+B12)</f>
        <v>346.28087685627173</v>
      </c>
      <c r="D12" s="62"/>
      <c r="E12" s="63"/>
      <c r="G12" s="994">
        <v>2023</v>
      </c>
      <c r="H12" s="994">
        <v>2025</v>
      </c>
      <c r="I12" s="994" t="str">
        <f t="shared" si="1"/>
        <v>20232025</v>
      </c>
      <c r="J12" s="995">
        <f>J11*(1+$B$14)</f>
        <v>1.028</v>
      </c>
    </row>
    <row r="13" spans="1:10" x14ac:dyDescent="0.35">
      <c r="A13" s="742">
        <v>2024</v>
      </c>
      <c r="B13" s="521">
        <v>2.8000000000000001E-2</v>
      </c>
      <c r="C13" s="527">
        <f t="shared" si="2"/>
        <v>355.97674140824734</v>
      </c>
      <c r="D13" s="62"/>
      <c r="E13" s="63"/>
      <c r="G13" s="994">
        <v>2023</v>
      </c>
      <c r="H13" s="994">
        <v>2026</v>
      </c>
      <c r="I13" s="992" t="str">
        <f t="shared" si="1"/>
        <v>20232026</v>
      </c>
      <c r="J13" s="995">
        <f>J12*(1+$B$15)</f>
        <v>1.028</v>
      </c>
    </row>
    <row r="14" spans="1:10" x14ac:dyDescent="0.35">
      <c r="A14" s="742">
        <v>2025</v>
      </c>
      <c r="B14" s="521"/>
      <c r="C14" s="527">
        <f t="shared" ref="C14:C17" si="3">+C13*(1+B14)</f>
        <v>355.97674140824734</v>
      </c>
      <c r="D14" s="62"/>
      <c r="E14" s="63"/>
      <c r="G14" s="994">
        <v>2023</v>
      </c>
      <c r="H14" s="994">
        <v>2027</v>
      </c>
      <c r="I14" s="992" t="str">
        <f t="shared" si="1"/>
        <v>20232027</v>
      </c>
      <c r="J14" s="995">
        <f>J13*(1+$B$16)</f>
        <v>1.028</v>
      </c>
    </row>
    <row r="15" spans="1:10" ht="15" thickBot="1" x14ac:dyDescent="0.4">
      <c r="A15" s="742">
        <v>2026</v>
      </c>
      <c r="B15" s="521"/>
      <c r="C15" s="527">
        <f t="shared" si="3"/>
        <v>355.97674140824734</v>
      </c>
      <c r="D15" s="62"/>
      <c r="E15" s="63"/>
      <c r="G15" s="996">
        <v>2023</v>
      </c>
      <c r="H15" s="996">
        <v>2028</v>
      </c>
      <c r="I15" s="997" t="str">
        <f t="shared" si="1"/>
        <v>20232028</v>
      </c>
      <c r="J15" s="998">
        <f>J14*(1+$B$17)</f>
        <v>1.028</v>
      </c>
    </row>
    <row r="16" spans="1:10" x14ac:dyDescent="0.35">
      <c r="A16" s="742">
        <v>2027</v>
      </c>
      <c r="B16" s="521"/>
      <c r="C16" s="527">
        <f t="shared" si="3"/>
        <v>355.97674140824734</v>
      </c>
      <c r="D16" s="62"/>
      <c r="E16" s="63"/>
      <c r="G16" s="992">
        <v>2024</v>
      </c>
      <c r="H16" s="992">
        <v>2025</v>
      </c>
      <c r="I16" s="992" t="str">
        <f>+G16&amp;H16</f>
        <v>20242025</v>
      </c>
      <c r="J16" s="993">
        <f>(1+$B$14)</f>
        <v>1</v>
      </c>
    </row>
    <row r="17" spans="1:10" x14ac:dyDescent="0.35">
      <c r="A17" s="742">
        <v>2028</v>
      </c>
      <c r="B17" s="521"/>
      <c r="C17" s="527">
        <f t="shared" si="3"/>
        <v>355.97674140824734</v>
      </c>
      <c r="D17" s="62"/>
      <c r="E17" s="63"/>
      <c r="G17" s="994">
        <v>2024</v>
      </c>
      <c r="H17" s="994">
        <v>2026</v>
      </c>
      <c r="I17" s="994" t="str">
        <f t="shared" si="1"/>
        <v>20242026</v>
      </c>
      <c r="J17" s="995">
        <f>J16*(1+$B$15)</f>
        <v>1</v>
      </c>
    </row>
    <row r="18" spans="1:10" x14ac:dyDescent="0.35">
      <c r="A18" s="742">
        <v>2029</v>
      </c>
      <c r="B18" s="521"/>
      <c r="C18" s="527">
        <f t="shared" ref="C18:C19" si="4">+C17*(1+B18)</f>
        <v>355.97674140824734</v>
      </c>
      <c r="D18" s="62"/>
      <c r="E18" s="63"/>
      <c r="G18" s="994">
        <v>2024</v>
      </c>
      <c r="H18" s="994">
        <v>2027</v>
      </c>
      <c r="I18" s="992" t="str">
        <f t="shared" si="1"/>
        <v>20242027</v>
      </c>
      <c r="J18" s="995">
        <f>J17*(1+$B$16)</f>
        <v>1</v>
      </c>
    </row>
    <row r="19" spans="1:10" ht="15" thickBot="1" x14ac:dyDescent="0.4">
      <c r="A19" s="742">
        <v>2030</v>
      </c>
      <c r="B19" s="521"/>
      <c r="C19" s="527">
        <f t="shared" si="4"/>
        <v>355.97674140824734</v>
      </c>
      <c r="D19" s="62"/>
      <c r="E19" s="63"/>
      <c r="G19" s="994">
        <v>2024</v>
      </c>
      <c r="H19" s="994">
        <v>2028</v>
      </c>
      <c r="I19" s="992" t="str">
        <f t="shared" si="1"/>
        <v>20242028</v>
      </c>
      <c r="J19" s="995">
        <f>J18*(1+$B$17)</f>
        <v>1</v>
      </c>
    </row>
    <row r="20" spans="1:10" ht="15" thickBot="1" x14ac:dyDescent="0.4">
      <c r="A20" s="66"/>
      <c r="B20" s="336"/>
      <c r="C20" s="528">
        <f>+C19</f>
        <v>355.97674140824734</v>
      </c>
      <c r="D20" s="455" t="s">
        <v>160</v>
      </c>
      <c r="E20" s="63"/>
      <c r="G20" s="996">
        <v>2024</v>
      </c>
      <c r="H20" s="996">
        <v>2029</v>
      </c>
      <c r="I20" s="997" t="str">
        <f t="shared" si="1"/>
        <v>20242029</v>
      </c>
      <c r="J20" s="998">
        <f>J19*(1+$B$18)</f>
        <v>1</v>
      </c>
    </row>
    <row r="21" spans="1:10" x14ac:dyDescent="0.35">
      <c r="A21" s="66"/>
      <c r="B21" s="336"/>
      <c r="C21" s="62"/>
      <c r="D21" s="62"/>
      <c r="E21" s="63"/>
      <c r="G21" s="992">
        <v>2025</v>
      </c>
      <c r="H21" s="994">
        <v>2026</v>
      </c>
      <c r="I21" s="992" t="str">
        <f>+G21&amp;H21</f>
        <v>20252026</v>
      </c>
      <c r="J21" s="993">
        <f>(1+$B$15)</f>
        <v>1</v>
      </c>
    </row>
    <row r="22" spans="1:10" ht="15" thickBot="1" x14ac:dyDescent="0.4">
      <c r="A22" s="951"/>
      <c r="B22" s="952"/>
      <c r="C22" s="953"/>
      <c r="D22" s="953"/>
      <c r="E22" s="954"/>
      <c r="G22" s="992">
        <v>2025</v>
      </c>
      <c r="H22" s="994">
        <v>2027</v>
      </c>
      <c r="I22" s="994" t="str">
        <f t="shared" si="1"/>
        <v>20252027</v>
      </c>
      <c r="J22" s="995">
        <f>J21*(1+$B$16)</f>
        <v>1</v>
      </c>
    </row>
    <row r="23" spans="1:10" x14ac:dyDescent="0.35">
      <c r="A23" s="955" t="s">
        <v>365</v>
      </c>
      <c r="B23" s="956"/>
      <c r="C23" s="957"/>
      <c r="D23" s="957"/>
      <c r="E23" s="958"/>
      <c r="G23" s="992">
        <v>2025</v>
      </c>
      <c r="H23" s="994">
        <v>2028</v>
      </c>
      <c r="I23" s="992" t="str">
        <f t="shared" si="1"/>
        <v>20252028</v>
      </c>
      <c r="J23" s="995">
        <f>J22*(1+$B$17)</f>
        <v>1</v>
      </c>
    </row>
    <row r="24" spans="1:10" x14ac:dyDescent="0.35">
      <c r="A24" s="955" t="s">
        <v>366</v>
      </c>
      <c r="B24" s="956"/>
      <c r="C24" s="957"/>
      <c r="D24" s="957"/>
      <c r="E24" s="958"/>
      <c r="G24" s="992">
        <v>2025</v>
      </c>
      <c r="H24" s="994">
        <v>2029</v>
      </c>
      <c r="I24" s="992" t="str">
        <f t="shared" si="1"/>
        <v>20252029</v>
      </c>
      <c r="J24" s="995">
        <f>J23*(1+$B$18)</f>
        <v>1</v>
      </c>
    </row>
    <row r="25" spans="1:10" ht="15" thickBot="1" x14ac:dyDescent="0.4">
      <c r="A25" s="955" t="s">
        <v>367</v>
      </c>
      <c r="B25" s="956"/>
      <c r="C25" s="957"/>
      <c r="D25" s="957"/>
      <c r="E25" s="958"/>
      <c r="G25" s="996">
        <v>2025</v>
      </c>
      <c r="H25" s="996">
        <v>2030</v>
      </c>
      <c r="I25" s="997" t="str">
        <f t="shared" si="1"/>
        <v>20252030</v>
      </c>
      <c r="J25" s="998">
        <f>J24*(1+$B$19)</f>
        <v>1</v>
      </c>
    </row>
    <row r="26" spans="1:10" ht="15" thickBot="1" x14ac:dyDescent="0.4">
      <c r="A26" s="959" t="s">
        <v>368</v>
      </c>
      <c r="B26" s="960"/>
      <c r="C26" s="961"/>
      <c r="D26" s="961"/>
      <c r="E26" s="962"/>
      <c r="G26" s="992">
        <v>2026</v>
      </c>
      <c r="H26" s="994">
        <v>2027</v>
      </c>
      <c r="I26" s="992" t="str">
        <f>+G26&amp;H26</f>
        <v>20262027</v>
      </c>
      <c r="J26" s="993">
        <f>(1+$B$16)</f>
        <v>1</v>
      </c>
    </row>
    <row r="27" spans="1:10" x14ac:dyDescent="0.35">
      <c r="A27" s="66"/>
      <c r="B27" s="336"/>
      <c r="C27" s="62"/>
      <c r="D27" s="62"/>
      <c r="E27" s="63"/>
      <c r="G27" s="992">
        <v>2026</v>
      </c>
      <c r="H27" s="994">
        <v>2028</v>
      </c>
      <c r="I27" s="994" t="str">
        <f t="shared" si="1"/>
        <v>20262028</v>
      </c>
      <c r="J27" s="995">
        <f>J26*(1+$B$17)</f>
        <v>1</v>
      </c>
    </row>
    <row r="28" spans="1:10" x14ac:dyDescent="0.35">
      <c r="A28" s="66"/>
      <c r="B28" s="336"/>
      <c r="C28" s="62"/>
      <c r="D28" s="62"/>
      <c r="E28" s="63"/>
      <c r="G28" s="992">
        <v>2026</v>
      </c>
      <c r="H28" s="994">
        <v>2029</v>
      </c>
      <c r="I28" s="992" t="str">
        <f t="shared" si="1"/>
        <v>20262029</v>
      </c>
      <c r="J28" s="995">
        <f>J27*(1+$B$18)</f>
        <v>1</v>
      </c>
    </row>
    <row r="29" spans="1:10" ht="15" thickBot="1" x14ac:dyDescent="0.4">
      <c r="A29" s="66"/>
      <c r="B29" s="336"/>
      <c r="C29" s="62"/>
      <c r="D29" s="62"/>
      <c r="E29" s="63"/>
      <c r="G29" s="997">
        <v>2026</v>
      </c>
      <c r="H29" s="996">
        <v>2030</v>
      </c>
      <c r="I29" s="992" t="str">
        <f t="shared" si="1"/>
        <v>20262030</v>
      </c>
      <c r="J29" s="998">
        <f>J28*(1+$B$19)</f>
        <v>1</v>
      </c>
    </row>
    <row r="30" spans="1:10" x14ac:dyDescent="0.35">
      <c r="A30" s="66"/>
      <c r="B30" s="336"/>
      <c r="C30" s="62"/>
      <c r="D30" s="62"/>
      <c r="E30" s="63"/>
      <c r="G30" s="994">
        <v>2027</v>
      </c>
      <c r="H30" s="994">
        <v>2028</v>
      </c>
      <c r="I30" s="994" t="str">
        <f t="shared" si="1"/>
        <v>20272028</v>
      </c>
      <c r="J30" s="993">
        <f>(1+$B$17)</f>
        <v>1</v>
      </c>
    </row>
    <row r="31" spans="1:10" x14ac:dyDescent="0.35">
      <c r="A31" s="66"/>
      <c r="B31" s="336"/>
      <c r="C31" s="62"/>
      <c r="D31" s="62"/>
      <c r="E31" s="63"/>
      <c r="G31" s="994">
        <v>2027</v>
      </c>
      <c r="H31" s="994">
        <v>2029</v>
      </c>
      <c r="I31" s="992" t="str">
        <f>+G31&amp;H31</f>
        <v>20272029</v>
      </c>
      <c r="J31" s="995">
        <f>J30*(1+$B$18)</f>
        <v>1</v>
      </c>
    </row>
    <row r="32" spans="1:10" ht="15" thickBot="1" x14ac:dyDescent="0.4">
      <c r="A32" s="66"/>
      <c r="B32" s="336"/>
      <c r="C32" s="62"/>
      <c r="D32" s="62"/>
      <c r="E32" s="63"/>
      <c r="G32" s="996">
        <v>2027</v>
      </c>
      <c r="H32" s="996">
        <v>2030</v>
      </c>
      <c r="I32" s="996" t="str">
        <f t="shared" si="1"/>
        <v>20272030</v>
      </c>
      <c r="J32" s="998">
        <f>J31*(1+$B$19)</f>
        <v>1</v>
      </c>
    </row>
    <row r="33" spans="1:10" x14ac:dyDescent="0.35">
      <c r="A33" s="66"/>
      <c r="B33" s="336"/>
      <c r="C33" s="62"/>
      <c r="D33" s="62"/>
      <c r="E33" s="63"/>
      <c r="G33" s="992">
        <v>2028</v>
      </c>
      <c r="H33" s="992">
        <v>2029</v>
      </c>
      <c r="I33" s="992" t="str">
        <f t="shared" si="1"/>
        <v>20282029</v>
      </c>
      <c r="J33" s="993">
        <f>(1+$B$18)</f>
        <v>1</v>
      </c>
    </row>
    <row r="34" spans="1:10" ht="15" thickBot="1" x14ac:dyDescent="0.4">
      <c r="A34" s="66"/>
      <c r="B34" s="336"/>
      <c r="C34" s="62"/>
      <c r="D34" s="62"/>
      <c r="E34" s="63"/>
      <c r="G34" s="996">
        <v>2028</v>
      </c>
      <c r="H34" s="996">
        <v>2030</v>
      </c>
      <c r="I34" s="996" t="str">
        <f t="shared" si="1"/>
        <v>20282030</v>
      </c>
      <c r="J34" s="998">
        <f>J33*(1+$B$19)</f>
        <v>1</v>
      </c>
    </row>
    <row r="35" spans="1:10" ht="15" thickBot="1" x14ac:dyDescent="0.4">
      <c r="A35" s="66"/>
      <c r="B35" s="336"/>
      <c r="C35" s="62"/>
      <c r="D35" s="62"/>
      <c r="E35" s="63"/>
      <c r="G35" s="999">
        <v>2029</v>
      </c>
      <c r="H35" s="999">
        <v>2030</v>
      </c>
      <c r="I35" s="997" t="str">
        <f t="shared" si="1"/>
        <v>20292030</v>
      </c>
      <c r="J35" s="1000">
        <f>(1+$B$19)</f>
        <v>1</v>
      </c>
    </row>
    <row r="36" spans="1:10" x14ac:dyDescent="0.35">
      <c r="A36" s="66"/>
      <c r="B36" s="336"/>
      <c r="C36" s="62"/>
      <c r="D36" s="62"/>
      <c r="E36" s="63"/>
    </row>
    <row r="37" spans="1:10" x14ac:dyDescent="0.35">
      <c r="A37" s="66"/>
      <c r="B37" s="336"/>
      <c r="C37" s="62"/>
      <c r="D37" s="62"/>
      <c r="E37" s="63"/>
    </row>
    <row r="38" spans="1:10" x14ac:dyDescent="0.35">
      <c r="A38" s="66"/>
      <c r="B38" s="336"/>
      <c r="C38" s="62"/>
      <c r="D38" s="62"/>
      <c r="E38" s="63"/>
    </row>
    <row r="39" spans="1:10" x14ac:dyDescent="0.35">
      <c r="A39" s="66"/>
      <c r="B39" s="336"/>
      <c r="C39" s="62"/>
      <c r="D39" s="62"/>
      <c r="E39" s="63"/>
    </row>
    <row r="40" spans="1:10" x14ac:dyDescent="0.35">
      <c r="A40" s="522"/>
      <c r="B40" s="523"/>
      <c r="C40" s="524"/>
      <c r="D40" s="524"/>
      <c r="E40" s="525"/>
    </row>
  </sheetData>
  <sheetProtection algorithmName="SHA-512" hashValue="CSlV541gUJKrad/oQYo+wqH79yYgMj/CKa+QFxLtVGyuw+dlMhADNpg4KA6WdIL3ncebpmskTQir7JrqDTlPCg==" saltValue="hc1fm2NWT0j3b03WLaqECw==" spinCount="100000" sheet="1" objects="1" scenarios="1"/>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6" sqref="A6"/>
    </sheetView>
  </sheetViews>
  <sheetFormatPr baseColWidth="10" defaultColWidth="11.453125" defaultRowHeight="14.5" x14ac:dyDescent="0.35"/>
  <cols>
    <col min="1" max="1" width="24" style="114" customWidth="1"/>
    <col min="2" max="2" width="20.453125" style="114" customWidth="1"/>
    <col min="3" max="3" width="12.7265625" style="114" customWidth="1"/>
    <col min="4" max="4" width="14" style="114" customWidth="1"/>
    <col min="5" max="5" width="17.7265625" style="114" customWidth="1"/>
    <col min="6" max="6" width="16" style="114" customWidth="1"/>
    <col min="7" max="7" width="5.1796875" style="114" customWidth="1"/>
    <col min="8" max="8" width="7.7265625" style="114" customWidth="1"/>
    <col min="9" max="9" width="13.26953125" style="114" bestFit="1" customWidth="1"/>
    <col min="10" max="16384" width="11.453125" style="114"/>
  </cols>
  <sheetData>
    <row r="1" spans="1:6" ht="26" x14ac:dyDescent="0.6">
      <c r="A1" s="607" t="s">
        <v>323</v>
      </c>
      <c r="B1" s="664"/>
      <c r="C1" s="639"/>
      <c r="D1" s="639"/>
      <c r="E1" s="612"/>
      <c r="F1" s="602"/>
    </row>
    <row r="2" spans="1:6" ht="26" x14ac:dyDescent="0.6">
      <c r="A2" s="641" t="s">
        <v>301</v>
      </c>
      <c r="B2" s="665"/>
      <c r="C2" s="642"/>
      <c r="D2" s="642"/>
      <c r="E2" s="518"/>
      <c r="F2" s="609" t="str">
        <f>+Stammdaten!D2</f>
        <v>Version 1.8</v>
      </c>
    </row>
    <row r="3" spans="1:6" x14ac:dyDescent="0.35">
      <c r="A3" s="381">
        <f>+Stammdaten!B5</f>
        <v>0</v>
      </c>
      <c r="B3" s="666"/>
      <c r="C3" s="302">
        <f>+Stammdaten!B3</f>
        <v>0</v>
      </c>
      <c r="D3" s="302"/>
      <c r="E3" s="610" t="s">
        <v>40</v>
      </c>
      <c r="F3" s="611"/>
    </row>
    <row r="4" spans="1:6" ht="15" thickBot="1" x14ac:dyDescent="0.4">
      <c r="A4" s="392"/>
      <c r="B4" s="393"/>
      <c r="C4" s="115"/>
      <c r="D4" s="115"/>
      <c r="E4" s="115"/>
      <c r="F4" s="193"/>
    </row>
    <row r="5" spans="1:6" ht="105.75" customHeight="1" thickBot="1" x14ac:dyDescent="0.4">
      <c r="A5" s="1080" t="s">
        <v>302</v>
      </c>
      <c r="B5" s="1039"/>
      <c r="C5" s="1039"/>
      <c r="D5" s="1039"/>
      <c r="E5" s="1039"/>
      <c r="F5" s="1040"/>
    </row>
    <row r="6" spans="1:6" x14ac:dyDescent="0.35">
      <c r="A6" s="392"/>
      <c r="B6" s="393"/>
      <c r="C6" s="115"/>
      <c r="D6" s="115"/>
      <c r="E6" s="115"/>
      <c r="F6" s="193"/>
    </row>
    <row r="7" spans="1:6" ht="48" customHeight="1" x14ac:dyDescent="0.35">
      <c r="A7" s="1113" t="s">
        <v>282</v>
      </c>
      <c r="B7" s="1114"/>
      <c r="C7" s="1115"/>
      <c r="D7" s="567" t="s">
        <v>176</v>
      </c>
      <c r="E7" s="568" t="s">
        <v>21</v>
      </c>
      <c r="F7" s="568" t="s">
        <v>20</v>
      </c>
    </row>
    <row r="8" spans="1:6" x14ac:dyDescent="0.35">
      <c r="A8" s="569" t="s">
        <v>164</v>
      </c>
      <c r="B8" s="570"/>
      <c r="C8" s="571"/>
      <c r="D8" s="572"/>
      <c r="E8" s="573" t="e">
        <f>+'A Flächen'!E174</f>
        <v>#DIV/0!</v>
      </c>
      <c r="F8" s="574" t="e">
        <f>+'A Flächen'!E175</f>
        <v>#DIV/0!</v>
      </c>
    </row>
    <row r="9" spans="1:6" x14ac:dyDescent="0.35">
      <c r="A9" s="254"/>
      <c r="B9" s="117"/>
      <c r="C9" s="535"/>
      <c r="D9" s="208"/>
      <c r="E9" s="575" t="e">
        <f>+D9*$E$8</f>
        <v>#DIV/0!</v>
      </c>
      <c r="F9" s="534" t="e">
        <f>+D9*$F$8</f>
        <v>#DIV/0!</v>
      </c>
    </row>
    <row r="10" spans="1:6" x14ac:dyDescent="0.35">
      <c r="A10" s="254"/>
      <c r="B10" s="117"/>
      <c r="C10" s="535"/>
      <c r="D10" s="208"/>
      <c r="E10" s="575" t="e">
        <f t="shared" ref="E10:E55" si="0">+D10*$E$8</f>
        <v>#DIV/0!</v>
      </c>
      <c r="F10" s="534" t="e">
        <f t="shared" ref="F10:F55" si="1">+D10*$F$8</f>
        <v>#DIV/0!</v>
      </c>
    </row>
    <row r="11" spans="1:6" x14ac:dyDescent="0.35">
      <c r="A11" s="254"/>
      <c r="B11" s="117"/>
      <c r="C11" s="535"/>
      <c r="D11" s="208"/>
      <c r="E11" s="575" t="e">
        <f t="shared" si="0"/>
        <v>#DIV/0!</v>
      </c>
      <c r="F11" s="534" t="e">
        <f t="shared" si="1"/>
        <v>#DIV/0!</v>
      </c>
    </row>
    <row r="12" spans="1:6" x14ac:dyDescent="0.35">
      <c r="A12" s="254"/>
      <c r="B12" s="117"/>
      <c r="C12" s="535"/>
      <c r="D12" s="208"/>
      <c r="E12" s="575" t="e">
        <f t="shared" si="0"/>
        <v>#DIV/0!</v>
      </c>
      <c r="F12" s="534" t="e">
        <f t="shared" si="1"/>
        <v>#DIV/0!</v>
      </c>
    </row>
    <row r="13" spans="1:6" x14ac:dyDescent="0.35">
      <c r="A13" s="254"/>
      <c r="B13" s="117"/>
      <c r="C13" s="535"/>
      <c r="D13" s="208"/>
      <c r="E13" s="575" t="e">
        <f t="shared" si="0"/>
        <v>#DIV/0!</v>
      </c>
      <c r="F13" s="534" t="e">
        <f t="shared" si="1"/>
        <v>#DIV/0!</v>
      </c>
    </row>
    <row r="14" spans="1:6" x14ac:dyDescent="0.35">
      <c r="A14" s="254"/>
      <c r="B14" s="117"/>
      <c r="C14" s="535"/>
      <c r="D14" s="208"/>
      <c r="E14" s="575" t="e">
        <f t="shared" si="0"/>
        <v>#DIV/0!</v>
      </c>
      <c r="F14" s="534" t="e">
        <f t="shared" si="1"/>
        <v>#DIV/0!</v>
      </c>
    </row>
    <row r="15" spans="1:6" x14ac:dyDescent="0.35">
      <c r="A15" s="254"/>
      <c r="B15" s="117"/>
      <c r="C15" s="535"/>
      <c r="D15" s="208"/>
      <c r="E15" s="575" t="e">
        <f t="shared" si="0"/>
        <v>#DIV/0!</v>
      </c>
      <c r="F15" s="534" t="e">
        <f t="shared" si="1"/>
        <v>#DIV/0!</v>
      </c>
    </row>
    <row r="16" spans="1:6" x14ac:dyDescent="0.35">
      <c r="A16" s="254"/>
      <c r="B16" s="117"/>
      <c r="C16" s="535"/>
      <c r="D16" s="208"/>
      <c r="E16" s="575" t="e">
        <f t="shared" si="0"/>
        <v>#DIV/0!</v>
      </c>
      <c r="F16" s="534" t="e">
        <f t="shared" si="1"/>
        <v>#DIV/0!</v>
      </c>
    </row>
    <row r="17" spans="1:6" x14ac:dyDescent="0.35">
      <c r="A17" s="254"/>
      <c r="B17" s="117"/>
      <c r="C17" s="535"/>
      <c r="D17" s="208"/>
      <c r="E17" s="575" t="e">
        <f t="shared" si="0"/>
        <v>#DIV/0!</v>
      </c>
      <c r="F17" s="534" t="e">
        <f t="shared" si="1"/>
        <v>#DIV/0!</v>
      </c>
    </row>
    <row r="18" spans="1:6" x14ac:dyDescent="0.35">
      <c r="A18" s="254"/>
      <c r="B18" s="117"/>
      <c r="C18" s="535"/>
      <c r="D18" s="208"/>
      <c r="E18" s="575" t="e">
        <f t="shared" si="0"/>
        <v>#DIV/0!</v>
      </c>
      <c r="F18" s="534" t="e">
        <f t="shared" si="1"/>
        <v>#DIV/0!</v>
      </c>
    </row>
    <row r="19" spans="1:6" x14ac:dyDescent="0.35">
      <c r="A19" s="254"/>
      <c r="B19" s="117"/>
      <c r="C19" s="535"/>
      <c r="D19" s="208"/>
      <c r="E19" s="575" t="e">
        <f t="shared" si="0"/>
        <v>#DIV/0!</v>
      </c>
      <c r="F19" s="534" t="e">
        <f t="shared" si="1"/>
        <v>#DIV/0!</v>
      </c>
    </row>
    <row r="20" spans="1:6" x14ac:dyDescent="0.35">
      <c r="A20" s="254"/>
      <c r="B20" s="117"/>
      <c r="C20" s="535"/>
      <c r="D20" s="208"/>
      <c r="E20" s="575" t="e">
        <f t="shared" si="0"/>
        <v>#DIV/0!</v>
      </c>
      <c r="F20" s="534" t="e">
        <f t="shared" si="1"/>
        <v>#DIV/0!</v>
      </c>
    </row>
    <row r="21" spans="1:6" x14ac:dyDescent="0.35">
      <c r="A21" s="254"/>
      <c r="B21" s="117"/>
      <c r="C21" s="535"/>
      <c r="D21" s="208"/>
      <c r="E21" s="575" t="e">
        <f t="shared" si="0"/>
        <v>#DIV/0!</v>
      </c>
      <c r="F21" s="534" t="e">
        <f t="shared" si="1"/>
        <v>#DIV/0!</v>
      </c>
    </row>
    <row r="22" spans="1:6" x14ac:dyDescent="0.35">
      <c r="A22" s="254"/>
      <c r="B22" s="117"/>
      <c r="C22" s="535"/>
      <c r="D22" s="208"/>
      <c r="E22" s="575" t="e">
        <f t="shared" si="0"/>
        <v>#DIV/0!</v>
      </c>
      <c r="F22" s="534" t="e">
        <f t="shared" si="1"/>
        <v>#DIV/0!</v>
      </c>
    </row>
    <row r="23" spans="1:6" x14ac:dyDescent="0.35">
      <c r="A23" s="254"/>
      <c r="B23" s="117"/>
      <c r="C23" s="535"/>
      <c r="D23" s="208"/>
      <c r="E23" s="575" t="e">
        <f t="shared" si="0"/>
        <v>#DIV/0!</v>
      </c>
      <c r="F23" s="534" t="e">
        <f t="shared" si="1"/>
        <v>#DIV/0!</v>
      </c>
    </row>
    <row r="24" spans="1:6" x14ac:dyDescent="0.35">
      <c r="A24" s="254"/>
      <c r="B24" s="117"/>
      <c r="C24" s="535"/>
      <c r="D24" s="208"/>
      <c r="E24" s="575" t="e">
        <f t="shared" si="0"/>
        <v>#DIV/0!</v>
      </c>
      <c r="F24" s="534" t="e">
        <f t="shared" si="1"/>
        <v>#DIV/0!</v>
      </c>
    </row>
    <row r="25" spans="1:6" x14ac:dyDescent="0.35">
      <c r="A25" s="254"/>
      <c r="B25" s="117"/>
      <c r="C25" s="535"/>
      <c r="D25" s="208"/>
      <c r="E25" s="575" t="e">
        <f t="shared" si="0"/>
        <v>#DIV/0!</v>
      </c>
      <c r="F25" s="534" t="e">
        <f t="shared" si="1"/>
        <v>#DIV/0!</v>
      </c>
    </row>
    <row r="26" spans="1:6" x14ac:dyDescent="0.35">
      <c r="A26" s="254"/>
      <c r="B26" s="117"/>
      <c r="C26" s="535"/>
      <c r="D26" s="208"/>
      <c r="E26" s="575" t="e">
        <f t="shared" si="0"/>
        <v>#DIV/0!</v>
      </c>
      <c r="F26" s="534" t="e">
        <f t="shared" si="1"/>
        <v>#DIV/0!</v>
      </c>
    </row>
    <row r="27" spans="1:6" x14ac:dyDescent="0.35">
      <c r="A27" s="254"/>
      <c r="B27" s="117"/>
      <c r="C27" s="535"/>
      <c r="D27" s="208"/>
      <c r="E27" s="575" t="e">
        <f t="shared" si="0"/>
        <v>#DIV/0!</v>
      </c>
      <c r="F27" s="534" t="e">
        <f t="shared" si="1"/>
        <v>#DIV/0!</v>
      </c>
    </row>
    <row r="28" spans="1:6" x14ac:dyDescent="0.35">
      <c r="A28" s="254"/>
      <c r="B28" s="117"/>
      <c r="C28" s="535"/>
      <c r="D28" s="208"/>
      <c r="E28" s="575" t="e">
        <f t="shared" si="0"/>
        <v>#DIV/0!</v>
      </c>
      <c r="F28" s="534" t="e">
        <f t="shared" si="1"/>
        <v>#DIV/0!</v>
      </c>
    </row>
    <row r="29" spans="1:6" x14ac:dyDescent="0.35">
      <c r="A29" s="254"/>
      <c r="B29" s="117"/>
      <c r="C29" s="535"/>
      <c r="D29" s="208"/>
      <c r="E29" s="575" t="e">
        <f t="shared" si="0"/>
        <v>#DIV/0!</v>
      </c>
      <c r="F29" s="534" t="e">
        <f t="shared" si="1"/>
        <v>#DIV/0!</v>
      </c>
    </row>
    <row r="30" spans="1:6" x14ac:dyDescent="0.35">
      <c r="A30" s="254"/>
      <c r="B30" s="117"/>
      <c r="C30" s="535"/>
      <c r="D30" s="208"/>
      <c r="E30" s="575" t="e">
        <f t="shared" si="0"/>
        <v>#DIV/0!</v>
      </c>
      <c r="F30" s="534" t="e">
        <f t="shared" si="1"/>
        <v>#DIV/0!</v>
      </c>
    </row>
    <row r="31" spans="1:6" x14ac:dyDescent="0.35">
      <c r="A31" s="254"/>
      <c r="B31" s="117"/>
      <c r="C31" s="535"/>
      <c r="D31" s="208"/>
      <c r="E31" s="575" t="e">
        <f t="shared" si="0"/>
        <v>#DIV/0!</v>
      </c>
      <c r="F31" s="534" t="e">
        <f t="shared" si="1"/>
        <v>#DIV/0!</v>
      </c>
    </row>
    <row r="32" spans="1:6" x14ac:dyDescent="0.35">
      <c r="A32" s="254"/>
      <c r="B32" s="117"/>
      <c r="C32" s="535"/>
      <c r="D32" s="208"/>
      <c r="E32" s="575" t="e">
        <f t="shared" si="0"/>
        <v>#DIV/0!</v>
      </c>
      <c r="F32" s="534" t="e">
        <f t="shared" si="1"/>
        <v>#DIV/0!</v>
      </c>
    </row>
    <row r="33" spans="1:6" x14ac:dyDescent="0.35">
      <c r="A33" s="254"/>
      <c r="B33" s="117"/>
      <c r="C33" s="535"/>
      <c r="D33" s="208"/>
      <c r="E33" s="575" t="e">
        <f t="shared" si="0"/>
        <v>#DIV/0!</v>
      </c>
      <c r="F33" s="534" t="e">
        <f t="shared" si="1"/>
        <v>#DIV/0!</v>
      </c>
    </row>
    <row r="34" spans="1:6" x14ac:dyDescent="0.35">
      <c r="A34" s="254"/>
      <c r="B34" s="117"/>
      <c r="C34" s="535"/>
      <c r="D34" s="208"/>
      <c r="E34" s="575" t="e">
        <f t="shared" si="0"/>
        <v>#DIV/0!</v>
      </c>
      <c r="F34" s="534" t="e">
        <f t="shared" si="1"/>
        <v>#DIV/0!</v>
      </c>
    </row>
    <row r="35" spans="1:6" x14ac:dyDescent="0.35">
      <c r="A35" s="254"/>
      <c r="B35" s="117"/>
      <c r="C35" s="535"/>
      <c r="D35" s="208"/>
      <c r="E35" s="575" t="e">
        <f t="shared" si="0"/>
        <v>#DIV/0!</v>
      </c>
      <c r="F35" s="534" t="e">
        <f t="shared" si="1"/>
        <v>#DIV/0!</v>
      </c>
    </row>
    <row r="36" spans="1:6" x14ac:dyDescent="0.35">
      <c r="A36" s="254"/>
      <c r="B36" s="117"/>
      <c r="C36" s="535"/>
      <c r="D36" s="208"/>
      <c r="E36" s="575" t="e">
        <f t="shared" si="0"/>
        <v>#DIV/0!</v>
      </c>
      <c r="F36" s="534" t="e">
        <f t="shared" si="1"/>
        <v>#DIV/0!</v>
      </c>
    </row>
    <row r="37" spans="1:6" x14ac:dyDescent="0.35">
      <c r="A37" s="254"/>
      <c r="B37" s="117"/>
      <c r="C37" s="535"/>
      <c r="D37" s="208"/>
      <c r="E37" s="575" t="e">
        <f t="shared" si="0"/>
        <v>#DIV/0!</v>
      </c>
      <c r="F37" s="534" t="e">
        <f t="shared" si="1"/>
        <v>#DIV/0!</v>
      </c>
    </row>
    <row r="38" spans="1:6" x14ac:dyDescent="0.35">
      <c r="A38" s="254"/>
      <c r="B38" s="117"/>
      <c r="C38" s="535"/>
      <c r="D38" s="208"/>
      <c r="E38" s="575" t="e">
        <f t="shared" si="0"/>
        <v>#DIV/0!</v>
      </c>
      <c r="F38" s="534" t="e">
        <f t="shared" si="1"/>
        <v>#DIV/0!</v>
      </c>
    </row>
    <row r="39" spans="1:6" x14ac:dyDescent="0.35">
      <c r="A39" s="254"/>
      <c r="B39" s="117"/>
      <c r="C39" s="535"/>
      <c r="D39" s="208"/>
      <c r="E39" s="575" t="e">
        <f t="shared" si="0"/>
        <v>#DIV/0!</v>
      </c>
      <c r="F39" s="534" t="e">
        <f t="shared" si="1"/>
        <v>#DIV/0!</v>
      </c>
    </row>
    <row r="40" spans="1:6" x14ac:dyDescent="0.35">
      <c r="A40" s="254"/>
      <c r="B40" s="117"/>
      <c r="C40" s="535"/>
      <c r="D40" s="208"/>
      <c r="E40" s="575" t="e">
        <f t="shared" si="0"/>
        <v>#DIV/0!</v>
      </c>
      <c r="F40" s="534" t="e">
        <f t="shared" si="1"/>
        <v>#DIV/0!</v>
      </c>
    </row>
    <row r="41" spans="1:6" x14ac:dyDescent="0.35">
      <c r="A41" s="254"/>
      <c r="B41" s="117"/>
      <c r="C41" s="535"/>
      <c r="D41" s="208"/>
      <c r="E41" s="575" t="e">
        <f t="shared" si="0"/>
        <v>#DIV/0!</v>
      </c>
      <c r="F41" s="534" t="e">
        <f t="shared" si="1"/>
        <v>#DIV/0!</v>
      </c>
    </row>
    <row r="42" spans="1:6" x14ac:dyDescent="0.35">
      <c r="A42" s="254"/>
      <c r="B42" s="117"/>
      <c r="C42" s="535"/>
      <c r="D42" s="208"/>
      <c r="E42" s="575" t="e">
        <f t="shared" si="0"/>
        <v>#DIV/0!</v>
      </c>
      <c r="F42" s="534" t="e">
        <f t="shared" si="1"/>
        <v>#DIV/0!</v>
      </c>
    </row>
    <row r="43" spans="1:6" x14ac:dyDescent="0.35">
      <c r="A43" s="254"/>
      <c r="B43" s="117"/>
      <c r="C43" s="535"/>
      <c r="D43" s="208"/>
      <c r="E43" s="575" t="e">
        <f t="shared" si="0"/>
        <v>#DIV/0!</v>
      </c>
      <c r="F43" s="534" t="e">
        <f t="shared" si="1"/>
        <v>#DIV/0!</v>
      </c>
    </row>
    <row r="44" spans="1:6" x14ac:dyDescent="0.35">
      <c r="A44" s="254"/>
      <c r="B44" s="117"/>
      <c r="C44" s="535"/>
      <c r="D44" s="208"/>
      <c r="E44" s="575" t="e">
        <f t="shared" si="0"/>
        <v>#DIV/0!</v>
      </c>
      <c r="F44" s="534" t="e">
        <f t="shared" si="1"/>
        <v>#DIV/0!</v>
      </c>
    </row>
    <row r="45" spans="1:6" x14ac:dyDescent="0.35">
      <c r="A45" s="254"/>
      <c r="B45" s="117"/>
      <c r="C45" s="535"/>
      <c r="D45" s="208"/>
      <c r="E45" s="575" t="e">
        <f t="shared" si="0"/>
        <v>#DIV/0!</v>
      </c>
      <c r="F45" s="534" t="e">
        <f t="shared" si="1"/>
        <v>#DIV/0!</v>
      </c>
    </row>
    <row r="46" spans="1:6" x14ac:dyDescent="0.35">
      <c r="A46" s="254"/>
      <c r="B46" s="117"/>
      <c r="C46" s="535"/>
      <c r="D46" s="208"/>
      <c r="E46" s="575" t="e">
        <f t="shared" si="0"/>
        <v>#DIV/0!</v>
      </c>
      <c r="F46" s="534" t="e">
        <f t="shared" si="1"/>
        <v>#DIV/0!</v>
      </c>
    </row>
    <row r="47" spans="1:6" x14ac:dyDescent="0.35">
      <c r="A47" s="254"/>
      <c r="B47" s="117"/>
      <c r="C47" s="535"/>
      <c r="D47" s="208"/>
      <c r="E47" s="575" t="e">
        <f t="shared" si="0"/>
        <v>#DIV/0!</v>
      </c>
      <c r="F47" s="534" t="e">
        <f t="shared" si="1"/>
        <v>#DIV/0!</v>
      </c>
    </row>
    <row r="48" spans="1:6" x14ac:dyDescent="0.35">
      <c r="A48" s="254"/>
      <c r="B48" s="117"/>
      <c r="C48" s="535"/>
      <c r="D48" s="208"/>
      <c r="E48" s="575" t="e">
        <f t="shared" si="0"/>
        <v>#DIV/0!</v>
      </c>
      <c r="F48" s="534" t="e">
        <f t="shared" si="1"/>
        <v>#DIV/0!</v>
      </c>
    </row>
    <row r="49" spans="1:10" x14ac:dyDescent="0.35">
      <c r="A49" s="254"/>
      <c r="B49" s="117"/>
      <c r="C49" s="535"/>
      <c r="D49" s="208"/>
      <c r="E49" s="575" t="e">
        <f t="shared" si="0"/>
        <v>#DIV/0!</v>
      </c>
      <c r="F49" s="534" t="e">
        <f t="shared" si="1"/>
        <v>#DIV/0!</v>
      </c>
    </row>
    <row r="50" spans="1:10" x14ac:dyDescent="0.35">
      <c r="A50" s="254"/>
      <c r="B50" s="117"/>
      <c r="C50" s="535"/>
      <c r="D50" s="208"/>
      <c r="E50" s="575" t="e">
        <f t="shared" si="0"/>
        <v>#DIV/0!</v>
      </c>
      <c r="F50" s="534" t="e">
        <f t="shared" si="1"/>
        <v>#DIV/0!</v>
      </c>
    </row>
    <row r="51" spans="1:10" x14ac:dyDescent="0.35">
      <c r="A51" s="254"/>
      <c r="B51" s="117"/>
      <c r="C51" s="535"/>
      <c r="D51" s="208"/>
      <c r="E51" s="575" t="e">
        <f t="shared" si="0"/>
        <v>#DIV/0!</v>
      </c>
      <c r="F51" s="534" t="e">
        <f t="shared" si="1"/>
        <v>#DIV/0!</v>
      </c>
    </row>
    <row r="52" spans="1:10" x14ac:dyDescent="0.35">
      <c r="A52" s="254"/>
      <c r="B52" s="117"/>
      <c r="C52" s="535"/>
      <c r="D52" s="208"/>
      <c r="E52" s="575" t="e">
        <f t="shared" si="0"/>
        <v>#DIV/0!</v>
      </c>
      <c r="F52" s="534" t="e">
        <f t="shared" si="1"/>
        <v>#DIV/0!</v>
      </c>
    </row>
    <row r="53" spans="1:10" x14ac:dyDescent="0.35">
      <c r="A53" s="254"/>
      <c r="B53" s="117"/>
      <c r="C53" s="535"/>
      <c r="D53" s="208"/>
      <c r="E53" s="575" t="e">
        <f t="shared" si="0"/>
        <v>#DIV/0!</v>
      </c>
      <c r="F53" s="534" t="e">
        <f t="shared" si="1"/>
        <v>#DIV/0!</v>
      </c>
    </row>
    <row r="54" spans="1:10" x14ac:dyDescent="0.35">
      <c r="A54" s="254"/>
      <c r="B54" s="117"/>
      <c r="C54" s="535"/>
      <c r="D54" s="208"/>
      <c r="E54" s="575" t="e">
        <f t="shared" si="0"/>
        <v>#DIV/0!</v>
      </c>
      <c r="F54" s="534" t="e">
        <f t="shared" si="1"/>
        <v>#DIV/0!</v>
      </c>
    </row>
    <row r="55" spans="1:10" x14ac:dyDescent="0.35">
      <c r="A55" s="254"/>
      <c r="B55" s="117"/>
      <c r="C55" s="535"/>
      <c r="D55" s="208"/>
      <c r="E55" s="575" t="e">
        <f t="shared" si="0"/>
        <v>#DIV/0!</v>
      </c>
      <c r="F55" s="534" t="e">
        <f t="shared" si="1"/>
        <v>#DIV/0!</v>
      </c>
    </row>
    <row r="56" spans="1:10" x14ac:dyDescent="0.35">
      <c r="A56" s="576" t="s">
        <v>116</v>
      </c>
      <c r="B56" s="577"/>
      <c r="C56" s="577"/>
      <c r="D56" s="403">
        <f>+SUM(D9:D55)</f>
        <v>0</v>
      </c>
      <c r="E56" s="403" t="e">
        <f>+SUM(E9:E55)</f>
        <v>#DIV/0!</v>
      </c>
      <c r="F56" s="404" t="e">
        <f>+SUM(F9:F55)</f>
        <v>#DIV/0!</v>
      </c>
      <c r="H56" s="108" t="s">
        <v>6</v>
      </c>
      <c r="I56" s="162" t="e">
        <f>+D56-E56-F56</f>
        <v>#DIV/0!</v>
      </c>
    </row>
    <row r="57" spans="1:10" x14ac:dyDescent="0.35">
      <c r="A57" s="117"/>
      <c r="B57" s="117"/>
      <c r="C57" s="532"/>
      <c r="D57" s="548"/>
      <c r="E57" s="549"/>
      <c r="F57" s="549"/>
      <c r="H57" s="401"/>
    </row>
    <row r="58" spans="1:10" s="536" customFormat="1" x14ac:dyDescent="0.35">
      <c r="A58" s="578" t="s">
        <v>324</v>
      </c>
      <c r="B58" s="579"/>
      <c r="C58" s="580"/>
      <c r="D58" s="289"/>
      <c r="E58" s="289"/>
      <c r="F58" s="581"/>
      <c r="H58" s="537"/>
    </row>
    <row r="59" spans="1:10" s="536" customFormat="1" x14ac:dyDescent="0.35">
      <c r="A59" s="582" t="s">
        <v>27</v>
      </c>
      <c r="B59" s="583"/>
      <c r="C59" s="584" t="s">
        <v>171</v>
      </c>
      <c r="D59" s="208"/>
      <c r="E59" s="552"/>
      <c r="F59" s="553"/>
      <c r="H59" s="537"/>
      <c r="I59" s="538"/>
      <c r="J59" s="538"/>
    </row>
    <row r="60" spans="1:10" s="536" customFormat="1" x14ac:dyDescent="0.35">
      <c r="A60" s="582" t="s">
        <v>177</v>
      </c>
      <c r="B60" s="585"/>
      <c r="C60" s="584" t="s">
        <v>171</v>
      </c>
      <c r="D60" s="208"/>
      <c r="E60" s="554"/>
      <c r="F60" s="555"/>
      <c r="H60" s="537"/>
      <c r="I60" s="538"/>
      <c r="J60" s="538"/>
    </row>
    <row r="61" spans="1:10" s="536" customFormat="1" x14ac:dyDescent="0.35">
      <c r="A61" s="586" t="s">
        <v>303</v>
      </c>
      <c r="B61" s="587"/>
      <c r="C61" s="588"/>
      <c r="D61" s="550">
        <f>+D60+D59</f>
        <v>0</v>
      </c>
      <c r="E61" s="556"/>
      <c r="F61" s="557"/>
      <c r="H61" s="537"/>
    </row>
    <row r="62" spans="1:10" s="536" customFormat="1" x14ac:dyDescent="0.35">
      <c r="A62" s="578" t="s">
        <v>313</v>
      </c>
      <c r="B62" s="579"/>
      <c r="C62" s="406"/>
      <c r="D62" s="264">
        <f>+D61/12.5%</f>
        <v>0</v>
      </c>
      <c r="E62" s="264" t="e">
        <f>+D62*$E$8</f>
        <v>#DIV/0!</v>
      </c>
      <c r="F62" s="264" t="e">
        <f>+D62*$F$8</f>
        <v>#DIV/0!</v>
      </c>
      <c r="H62" s="108" t="s">
        <v>6</v>
      </c>
      <c r="I62" s="162" t="e">
        <f>+D62-E62-F62</f>
        <v>#DIV/0!</v>
      </c>
    </row>
    <row r="63" spans="1:10" x14ac:dyDescent="0.35">
      <c r="A63" s="117"/>
      <c r="B63" s="117"/>
      <c r="C63" s="532"/>
      <c r="D63" s="551"/>
      <c r="E63" s="549"/>
      <c r="F63" s="549"/>
      <c r="H63" s="401"/>
    </row>
    <row r="64" spans="1:10" ht="18.5" x14ac:dyDescent="0.45">
      <c r="A64" s="589" t="s">
        <v>10</v>
      </c>
      <c r="B64" s="590"/>
      <c r="C64" s="591"/>
      <c r="D64" s="349">
        <f>D62+D56</f>
        <v>0</v>
      </c>
      <c r="E64" s="349" t="e">
        <f>E62+E56</f>
        <v>#DIV/0!</v>
      </c>
      <c r="F64" s="349" t="e">
        <f>F62+F56</f>
        <v>#DIV/0!</v>
      </c>
      <c r="H64" s="108" t="s">
        <v>6</v>
      </c>
      <c r="I64" s="162" t="e">
        <f>+F64+E64-D64</f>
        <v>#DIV/0!</v>
      </c>
    </row>
    <row r="65" spans="4:6" x14ac:dyDescent="0.35">
      <c r="D65" s="402"/>
      <c r="E65" s="402"/>
      <c r="F65" s="402"/>
    </row>
    <row r="66" spans="4:6" x14ac:dyDescent="0.35">
      <c r="D66" s="402"/>
      <c r="E66" s="402"/>
      <c r="F66" s="402"/>
    </row>
    <row r="67" spans="4:6" x14ac:dyDescent="0.35">
      <c r="D67" s="402"/>
      <c r="E67" s="402"/>
      <c r="F67" s="402"/>
    </row>
    <row r="68" spans="4:6" x14ac:dyDescent="0.35">
      <c r="D68" s="402"/>
      <c r="E68" s="402"/>
      <c r="F68" s="402"/>
    </row>
    <row r="69" spans="4:6" x14ac:dyDescent="0.35">
      <c r="D69" s="402"/>
      <c r="E69" s="402"/>
      <c r="F69" s="402"/>
    </row>
    <row r="70" spans="4:6" x14ac:dyDescent="0.35">
      <c r="D70" s="402"/>
      <c r="E70" s="402"/>
      <c r="F70" s="402"/>
    </row>
    <row r="71" spans="4:6" x14ac:dyDescent="0.35">
      <c r="D71" s="402"/>
      <c r="E71" s="402"/>
      <c r="F71" s="402"/>
    </row>
    <row r="72" spans="4:6" x14ac:dyDescent="0.35">
      <c r="D72" s="402"/>
      <c r="E72" s="402"/>
      <c r="F72" s="402"/>
    </row>
    <row r="73" spans="4:6" x14ac:dyDescent="0.35">
      <c r="D73" s="402"/>
      <c r="E73" s="402"/>
      <c r="F73" s="402"/>
    </row>
    <row r="74" spans="4:6" x14ac:dyDescent="0.35">
      <c r="D74" s="402"/>
      <c r="E74" s="402"/>
      <c r="F74" s="402"/>
    </row>
    <row r="75" spans="4:6" x14ac:dyDescent="0.35">
      <c r="D75" s="402"/>
      <c r="E75" s="402"/>
      <c r="F75" s="402"/>
    </row>
    <row r="76" spans="4:6" x14ac:dyDescent="0.35">
      <c r="D76" s="402"/>
      <c r="E76" s="402"/>
      <c r="F76" s="402"/>
    </row>
    <row r="77" spans="4:6" x14ac:dyDescent="0.35">
      <c r="D77" s="402"/>
      <c r="E77" s="402"/>
      <c r="F77" s="402"/>
    </row>
    <row r="78" spans="4:6" x14ac:dyDescent="0.35">
      <c r="D78" s="402"/>
      <c r="E78" s="402"/>
      <c r="F78" s="402"/>
    </row>
    <row r="79" spans="4:6" x14ac:dyDescent="0.35">
      <c r="D79" s="402"/>
      <c r="E79" s="402"/>
      <c r="F79" s="402"/>
    </row>
    <row r="80" spans="4:6" x14ac:dyDescent="0.35">
      <c r="D80" s="402"/>
      <c r="E80" s="402"/>
      <c r="F80" s="402"/>
    </row>
    <row r="81" spans="4:6" x14ac:dyDescent="0.35">
      <c r="D81" s="402"/>
      <c r="E81" s="402"/>
      <c r="F81" s="402"/>
    </row>
    <row r="82" spans="4:6" x14ac:dyDescent="0.35">
      <c r="D82" s="402"/>
      <c r="E82" s="402"/>
      <c r="F82" s="402"/>
    </row>
    <row r="83" spans="4:6" x14ac:dyDescent="0.35">
      <c r="D83" s="402"/>
      <c r="E83" s="402"/>
      <c r="F83" s="402"/>
    </row>
    <row r="84" spans="4:6" x14ac:dyDescent="0.35">
      <c r="D84" s="402"/>
      <c r="E84" s="402"/>
      <c r="F84" s="402"/>
    </row>
    <row r="85" spans="4:6" x14ac:dyDescent="0.35">
      <c r="D85" s="402"/>
      <c r="E85" s="402"/>
      <c r="F85" s="402"/>
    </row>
    <row r="86" spans="4:6" x14ac:dyDescent="0.35">
      <c r="D86" s="402"/>
      <c r="E86" s="402"/>
      <c r="F86" s="402"/>
    </row>
    <row r="87" spans="4:6" x14ac:dyDescent="0.35">
      <c r="D87" s="402"/>
      <c r="E87" s="402"/>
      <c r="F87" s="402"/>
    </row>
  </sheetData>
  <sheetProtection password="A41D" sheet="1" objects="1" scenarios="1"/>
  <mergeCells count="2">
    <mergeCell ref="A7:C7"/>
    <mergeCell ref="A5:F5"/>
  </mergeCells>
  <conditionalFormatting sqref="I56">
    <cfRule type="expression" dxfId="4" priority="6">
      <formula>OR(I56&lt;-0.0009,I56&gt;0.0009)</formula>
    </cfRule>
  </conditionalFormatting>
  <conditionalFormatting sqref="I64">
    <cfRule type="expression" dxfId="3" priority="4">
      <formula>OR(I64&lt;-0.0009,I64&gt;0.0009)</formula>
    </cfRule>
  </conditionalFormatting>
  <conditionalFormatting sqref="I62">
    <cfRule type="expression" dxfId="2" priority="1">
      <formula>OR(I62&lt;-0.0009,I62&gt;0.0009)</formula>
    </cfRule>
  </conditionalFormatting>
  <pageMargins left="0.7" right="0.7" top="0.78740157499999996" bottom="0.78740157499999996" header="0.3" footer="0.3"/>
  <pageSetup paperSize="9" scale="67"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3" id="{6F135ACD-3646-45DF-9596-31F2BC76AE0E}">
            <xm:f>+'D Ausstatt.'!$D$8="x"</xm:f>
            <x14:dxf>
              <fill>
                <patternFill>
                  <bgColor rgb="FFFFFF99"/>
                </patternFill>
              </fill>
            </x14:dxf>
          </x14:cfRule>
          <xm:sqref>A9:D55</xm:sqref>
        </x14:conditionalFormatting>
        <x14:conditionalFormatting xmlns:xm="http://schemas.microsoft.com/office/excel/2006/main">
          <x14:cfRule type="expression" priority="2" id="{C0DA1F30-9315-4686-9513-25210DE22998}">
            <xm:f>+'D Ausstatt.'!$D$8="x"</xm:f>
            <x14:dxf>
              <fill>
                <patternFill>
                  <bgColor rgb="FFFFFF99"/>
                </patternFill>
              </fill>
            </x14:dxf>
          </x14:cfRule>
          <xm:sqref>D59:D60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53125" defaultRowHeight="14.5" x14ac:dyDescent="0.35"/>
  <cols>
    <col min="1" max="1" width="42.54296875" style="60" customWidth="1"/>
    <col min="2" max="2" width="22" style="60" customWidth="1"/>
    <col min="3" max="3" width="21.81640625" style="60" customWidth="1"/>
    <col min="4" max="4" width="17.81640625" style="60" customWidth="1"/>
    <col min="5" max="5" width="3.453125" style="60" customWidth="1"/>
    <col min="6" max="6" width="11.453125" style="60"/>
    <col min="7" max="7" width="10.26953125" style="72" customWidth="1"/>
    <col min="8" max="8" width="11.453125" style="60"/>
    <col min="9" max="9" width="15.453125" style="60" customWidth="1"/>
    <col min="10" max="16384" width="11.453125" style="60"/>
  </cols>
  <sheetData>
    <row r="1" spans="1:10" ht="26" x14ac:dyDescent="0.6">
      <c r="A1" s="596" t="s">
        <v>323</v>
      </c>
      <c r="B1" s="1"/>
      <c r="C1" s="1"/>
      <c r="D1" s="1"/>
      <c r="E1" s="597"/>
      <c r="F1" s="71"/>
    </row>
    <row r="2" spans="1:10" ht="26" x14ac:dyDescent="0.6">
      <c r="A2" s="598" t="s">
        <v>190</v>
      </c>
      <c r="B2" s="3"/>
      <c r="C2" s="3"/>
      <c r="D2" s="3"/>
      <c r="E2" s="599" t="str">
        <f>+Stammdaten!D2</f>
        <v>Version 1.8</v>
      </c>
      <c r="F2" s="71"/>
    </row>
    <row r="3" spans="1:10" ht="19" thickBot="1" x14ac:dyDescent="0.5">
      <c r="A3" s="600">
        <f>+Stammdaten!A3</f>
        <v>0</v>
      </c>
      <c r="B3" s="601">
        <f>+Stammdaten!B3</f>
        <v>0</v>
      </c>
      <c r="C3" s="1"/>
      <c r="D3" s="1"/>
      <c r="E3" s="602"/>
    </row>
    <row r="4" spans="1:10" ht="60.75" customHeight="1" thickBot="1" x14ac:dyDescent="0.4">
      <c r="A4" s="1038" t="s">
        <v>272</v>
      </c>
      <c r="B4" s="1039"/>
      <c r="C4" s="1039"/>
      <c r="D4" s="1039"/>
      <c r="E4" s="1040"/>
    </row>
    <row r="5" spans="1:10" ht="17.25" customHeight="1" x14ac:dyDescent="0.6">
      <c r="A5" s="598"/>
      <c r="B5" s="3"/>
      <c r="C5" s="3"/>
      <c r="D5" s="3"/>
      <c r="E5" s="7"/>
      <c r="J5" s="76"/>
    </row>
    <row r="6" spans="1:10" ht="38.25" customHeight="1" x14ac:dyDescent="0.45">
      <c r="A6" s="87"/>
      <c r="B6" s="18" t="s">
        <v>191</v>
      </c>
      <c r="C6" s="18" t="s">
        <v>192</v>
      </c>
      <c r="D6" s="88" t="s">
        <v>10</v>
      </c>
      <c r="E6" s="7"/>
    </row>
    <row r="7" spans="1:10" ht="18.5" x14ac:dyDescent="0.45">
      <c r="A7" s="89"/>
      <c r="B7" s="90"/>
      <c r="C7" s="90"/>
      <c r="D7" s="91"/>
      <c r="E7" s="7"/>
    </row>
    <row r="8" spans="1:10" ht="18.5" x14ac:dyDescent="0.45">
      <c r="A8" s="89" t="s">
        <v>159</v>
      </c>
      <c r="B8" s="90"/>
      <c r="C8" s="90"/>
      <c r="D8" s="92">
        <f>+Stammdaten!B7</f>
        <v>0</v>
      </c>
      <c r="E8" s="7"/>
    </row>
    <row r="9" spans="1:10" ht="18.5" x14ac:dyDescent="0.45">
      <c r="A9" s="89"/>
      <c r="B9" s="90"/>
      <c r="C9" s="90"/>
      <c r="D9" s="91"/>
      <c r="E9" s="7"/>
    </row>
    <row r="10" spans="1:10" ht="18.5" x14ac:dyDescent="0.45">
      <c r="A10" s="14" t="s">
        <v>193</v>
      </c>
      <c r="B10" s="93"/>
      <c r="C10" s="90"/>
      <c r="D10" s="94"/>
      <c r="E10" s="7"/>
      <c r="G10" s="77"/>
      <c r="H10" s="78"/>
    </row>
    <row r="11" spans="1:10" ht="18.5" x14ac:dyDescent="0.45">
      <c r="A11" s="20" t="s">
        <v>194</v>
      </c>
      <c r="B11" s="95" t="e">
        <f>'A Flächen'!D154/'Erg.-Übersicht'!D8</f>
        <v>#DIV/0!</v>
      </c>
      <c r="C11" s="96" t="e">
        <f>'A Flächen'!D155/'Erg.-Übersicht'!D8</f>
        <v>#DIV/0!</v>
      </c>
      <c r="D11" s="97" t="e">
        <f>C11+B11</f>
        <v>#DIV/0!</v>
      </c>
      <c r="E11" s="7"/>
      <c r="G11" s="107" t="e">
        <f>ROUNDDOWN(D11*D8-'A Flächen'!D154-'A Flächen'!D155,2)</f>
        <v>#DIV/0!</v>
      </c>
      <c r="H11" s="108" t="s">
        <v>6</v>
      </c>
    </row>
    <row r="12" spans="1:10" ht="18.5" x14ac:dyDescent="0.45">
      <c r="A12" s="20" t="s">
        <v>195</v>
      </c>
      <c r="B12" s="95" t="e">
        <f>'A Flächen'!D174/'Erg.-Übersicht'!D8</f>
        <v>#DIV/0!</v>
      </c>
      <c r="C12" s="96" t="e">
        <f>'A Flächen'!D175/'Erg.-Übersicht'!D8</f>
        <v>#DIV/0!</v>
      </c>
      <c r="D12" s="97" t="e">
        <f>C12+B12</f>
        <v>#DIV/0!</v>
      </c>
      <c r="E12" s="7"/>
      <c r="G12" s="107" t="e">
        <f>ROUNDDOWN(D12*D8-'A Flächen'!D176,2)</f>
        <v>#DIV/0!</v>
      </c>
      <c r="H12" s="108" t="s">
        <v>6</v>
      </c>
    </row>
    <row r="13" spans="1:10" ht="18.5" x14ac:dyDescent="0.45">
      <c r="A13" s="89"/>
      <c r="B13" s="90"/>
      <c r="C13" s="90"/>
      <c r="D13" s="91"/>
      <c r="E13" s="7"/>
      <c r="G13" s="109"/>
      <c r="H13" s="108"/>
    </row>
    <row r="14" spans="1:10" ht="18.5" x14ac:dyDescent="0.45">
      <c r="A14" s="20" t="s">
        <v>196</v>
      </c>
      <c r="B14" s="22" t="e">
        <f>+'E Mietber.'!H8</f>
        <v>#DIV/0!</v>
      </c>
      <c r="C14" s="22" t="e">
        <f>+'E Mietber.'!I8</f>
        <v>#DIV/0!</v>
      </c>
      <c r="D14" s="98" t="e">
        <f t="shared" ref="D14:D19" si="0">+C14+B14</f>
        <v>#DIV/0!</v>
      </c>
      <c r="E14" s="7"/>
      <c r="G14" s="107" t="e">
        <f>+D14-'E Mietber.'!G8</f>
        <v>#DIV/0!</v>
      </c>
      <c r="H14" s="108" t="s">
        <v>6</v>
      </c>
    </row>
    <row r="15" spans="1:10" ht="18.5" x14ac:dyDescent="0.45">
      <c r="A15" s="20" t="s">
        <v>67</v>
      </c>
      <c r="B15" s="24" t="e">
        <f>+'E Mietber.'!H10</f>
        <v>#DIV/0!</v>
      </c>
      <c r="C15" s="22" t="e">
        <f>+'E Mietber.'!I10</f>
        <v>#DIV/0!</v>
      </c>
      <c r="D15" s="98" t="e">
        <f t="shared" si="0"/>
        <v>#DIV/0!</v>
      </c>
      <c r="E15" s="7"/>
      <c r="G15" s="107" t="e">
        <f>+D15-'E Mietber.'!G10</f>
        <v>#DIV/0!</v>
      </c>
      <c r="H15" s="108" t="s">
        <v>6</v>
      </c>
    </row>
    <row r="16" spans="1:10" ht="18.5" x14ac:dyDescent="0.45">
      <c r="A16" s="20" t="s">
        <v>121</v>
      </c>
      <c r="B16" s="22" t="e">
        <f>+'E Mietber.'!H9</f>
        <v>#VALUE!</v>
      </c>
      <c r="C16" s="22" t="e">
        <f>+'E Mietber.'!I9</f>
        <v>#VALUE!</v>
      </c>
      <c r="D16" s="98" t="e">
        <f t="shared" si="0"/>
        <v>#VALUE!</v>
      </c>
      <c r="E16" s="7"/>
      <c r="G16" s="107" t="e">
        <f>+D16-'E Mietber.'!G9</f>
        <v>#VALUE!</v>
      </c>
      <c r="H16" s="108" t="s">
        <v>6</v>
      </c>
    </row>
    <row r="17" spans="1:8" ht="18.5" x14ac:dyDescent="0.45">
      <c r="A17" s="20" t="s">
        <v>262</v>
      </c>
      <c r="B17" s="22">
        <f>+'E Mietber.'!H12</f>
        <v>0</v>
      </c>
      <c r="C17" s="22" t="e">
        <f>+'E Mietber.'!I12</f>
        <v>#DIV/0!</v>
      </c>
      <c r="D17" s="98" t="e">
        <f t="shared" si="0"/>
        <v>#DIV/0!</v>
      </c>
      <c r="E17" s="7"/>
      <c r="G17" s="107" t="e">
        <f>+D17-'E Mietber.'!G12</f>
        <v>#DIV/0!</v>
      </c>
      <c r="H17" s="108" t="s">
        <v>6</v>
      </c>
    </row>
    <row r="18" spans="1:8" ht="18.5" x14ac:dyDescent="0.45">
      <c r="A18" s="20" t="s">
        <v>243</v>
      </c>
      <c r="B18" s="22">
        <f>+'E Mietber.'!H13</f>
        <v>0</v>
      </c>
      <c r="C18" s="22">
        <f>+'E Mietber.'!I13</f>
        <v>0</v>
      </c>
      <c r="D18" s="98">
        <f t="shared" si="0"/>
        <v>0</v>
      </c>
      <c r="E18" s="7"/>
      <c r="G18" s="107">
        <f>+D18-'E Mietber.'!G13</f>
        <v>0</v>
      </c>
      <c r="H18" s="108" t="s">
        <v>6</v>
      </c>
    </row>
    <row r="19" spans="1:8" ht="19" thickBot="1" x14ac:dyDescent="0.5">
      <c r="A19" s="25" t="s">
        <v>244</v>
      </c>
      <c r="B19" s="27">
        <f>+'E Mietber.'!H14</f>
        <v>0</v>
      </c>
      <c r="C19" s="27">
        <f>+'E Mietber.'!I14</f>
        <v>0</v>
      </c>
      <c r="D19" s="1001">
        <f t="shared" si="0"/>
        <v>0</v>
      </c>
      <c r="E19" s="7"/>
      <c r="G19" s="107">
        <f>+D19-'E Mietber.'!G14</f>
        <v>0</v>
      </c>
      <c r="H19" s="108" t="s">
        <v>6</v>
      </c>
    </row>
    <row r="20" spans="1:8" ht="19" thickTop="1" x14ac:dyDescent="0.45">
      <c r="A20" s="28" t="s">
        <v>197</v>
      </c>
      <c r="B20" s="30" t="e">
        <f>SUM(B14:B19)</f>
        <v>#DIV/0!</v>
      </c>
      <c r="C20" s="30" t="e">
        <f>+SUM(C14:C19)</f>
        <v>#DIV/0!</v>
      </c>
      <c r="D20" s="99" t="e">
        <f>+SUM(D14:D19)</f>
        <v>#DIV/0!</v>
      </c>
      <c r="E20" s="603"/>
      <c r="G20" s="107" t="e">
        <f>+D20-'E Mietber.'!G15</f>
        <v>#DIV/0!</v>
      </c>
      <c r="H20" s="108" t="s">
        <v>6</v>
      </c>
    </row>
    <row r="21" spans="1:8" ht="43.5" x14ac:dyDescent="0.35">
      <c r="A21" s="31"/>
      <c r="B21" s="100" t="s">
        <v>198</v>
      </c>
      <c r="C21" s="100" t="s">
        <v>259</v>
      </c>
      <c r="D21" s="32"/>
      <c r="E21" s="603"/>
      <c r="G21" s="77"/>
      <c r="H21" s="78"/>
    </row>
    <row r="22" spans="1:8" ht="15" thickBot="1" x14ac:dyDescent="0.4">
      <c r="A22" s="31"/>
      <c r="B22" s="32"/>
      <c r="C22" s="32"/>
      <c r="D22" s="32"/>
      <c r="E22" s="603"/>
      <c r="G22" s="77"/>
      <c r="H22" s="78"/>
    </row>
    <row r="23" spans="1:8" ht="19" thickTop="1" x14ac:dyDescent="0.45">
      <c r="A23" s="34" t="s">
        <v>199</v>
      </c>
      <c r="B23" s="1050" t="e">
        <f>+'E Mietber.'!H32</f>
        <v>#DIV/0!</v>
      </c>
      <c r="C23" s="1052"/>
      <c r="D23" s="1054" t="e">
        <f>+SUM(B23:C24)</f>
        <v>#DIV/0!</v>
      </c>
      <c r="E23" s="603"/>
      <c r="G23" s="77"/>
      <c r="H23" s="78"/>
    </row>
    <row r="24" spans="1:8" ht="15" thickBot="1" x14ac:dyDescent="0.4">
      <c r="A24" s="592" t="s">
        <v>200</v>
      </c>
      <c r="B24" s="1051"/>
      <c r="C24" s="1053"/>
      <c r="D24" s="1055"/>
      <c r="E24" s="603"/>
      <c r="G24" s="77"/>
      <c r="H24" s="78"/>
    </row>
    <row r="25" spans="1:8" ht="15" thickTop="1" x14ac:dyDescent="0.35">
      <c r="A25" s="101" t="e">
        <f>+IF('E Mietber.'!H24&lt;0,"Achtung! Da KdU&lt;100% ggfs Regelsatz-Absenkung für Nebenkosten wegen anderweitiger Bedarfsdeckung","")</f>
        <v>#DIV/0!</v>
      </c>
      <c r="B25" s="102"/>
      <c r="C25" s="102"/>
      <c r="D25" s="102"/>
      <c r="E25" s="603"/>
      <c r="F25" s="71"/>
      <c r="G25" s="77"/>
      <c r="H25" s="78"/>
    </row>
    <row r="26" spans="1:8" ht="18.5" x14ac:dyDescent="0.45">
      <c r="A26" s="1021" t="s">
        <v>201</v>
      </c>
      <c r="B26" s="1056" t="e">
        <f>+'E Mietber.'!H39</f>
        <v>#DIV/0!</v>
      </c>
      <c r="C26" s="1058"/>
      <c r="D26" s="1060" t="e">
        <f>+SUM(B26:C27)</f>
        <v>#DIV/0!</v>
      </c>
      <c r="E26" s="603"/>
      <c r="G26" s="80"/>
      <c r="H26" s="78"/>
    </row>
    <row r="27" spans="1:8" x14ac:dyDescent="0.35">
      <c r="A27" s="1022" t="s">
        <v>254</v>
      </c>
      <c r="B27" s="1057"/>
      <c r="C27" s="1059"/>
      <c r="D27" s="1059"/>
      <c r="E27" s="603"/>
      <c r="G27" s="77"/>
      <c r="H27" s="78"/>
    </row>
    <row r="28" spans="1:8" x14ac:dyDescent="0.35">
      <c r="A28" s="1022"/>
      <c r="B28" s="1023" t="s">
        <v>376</v>
      </c>
      <c r="C28" s="1024"/>
      <c r="D28" s="1025" t="s">
        <v>376</v>
      </c>
      <c r="E28" s="603"/>
      <c r="G28" s="77"/>
      <c r="H28" s="78"/>
    </row>
    <row r="29" spans="1:8" x14ac:dyDescent="0.35">
      <c r="A29" s="1022"/>
      <c r="B29" s="1026" t="e">
        <f>+B26/30.42</f>
        <v>#DIV/0!</v>
      </c>
      <c r="C29" s="1027"/>
      <c r="D29" s="1028" t="e">
        <f>+D26/30.42</f>
        <v>#DIV/0!</v>
      </c>
      <c r="E29" s="603"/>
      <c r="G29" s="77"/>
      <c r="H29" s="78"/>
    </row>
    <row r="30" spans="1:8" ht="18.5" x14ac:dyDescent="0.45">
      <c r="A30" s="1021" t="s">
        <v>202</v>
      </c>
      <c r="B30" s="1041"/>
      <c r="C30" s="1043" t="e">
        <f>+'E Mietber.'!I46</f>
        <v>#DIV/0!</v>
      </c>
      <c r="D30" s="1045" t="e">
        <f>+SUM(B30:C31)</f>
        <v>#DIV/0!</v>
      </c>
      <c r="E30" s="603"/>
      <c r="G30" s="77"/>
      <c r="H30" s="78"/>
    </row>
    <row r="31" spans="1:8" ht="18.5" x14ac:dyDescent="0.45">
      <c r="A31" s="1029" t="s">
        <v>203</v>
      </c>
      <c r="B31" s="1042"/>
      <c r="C31" s="1044"/>
      <c r="D31" s="1042"/>
      <c r="E31" s="603"/>
      <c r="G31" s="80"/>
      <c r="H31" s="78"/>
    </row>
    <row r="32" spans="1:8" ht="18.5" x14ac:dyDescent="0.45">
      <c r="A32" s="1029"/>
      <c r="B32" s="1025"/>
      <c r="C32" s="1023" t="s">
        <v>376</v>
      </c>
      <c r="D32" s="1025" t="s">
        <v>376</v>
      </c>
      <c r="E32" s="603"/>
      <c r="G32" s="77"/>
      <c r="H32" s="78"/>
    </row>
    <row r="33" spans="1:8" ht="19" thickBot="1" x14ac:dyDescent="0.5">
      <c r="A33" s="1029"/>
      <c r="B33" s="1028"/>
      <c r="C33" s="1026" t="e">
        <f>+C30/30.42</f>
        <v>#DIV/0!</v>
      </c>
      <c r="D33" s="1028" t="e">
        <f>+D30/30.42</f>
        <v>#DIV/0!</v>
      </c>
      <c r="E33" s="603"/>
      <c r="G33" s="77"/>
      <c r="H33" s="78"/>
    </row>
    <row r="34" spans="1:8" ht="19" thickTop="1" x14ac:dyDescent="0.45">
      <c r="A34" s="34" t="s">
        <v>204</v>
      </c>
      <c r="B34" s="1046"/>
      <c r="C34" s="1046"/>
      <c r="D34" s="1048" t="e">
        <f>+D26+D30</f>
        <v>#DIV/0!</v>
      </c>
      <c r="E34" s="603"/>
      <c r="G34" s="77"/>
      <c r="H34" s="78"/>
    </row>
    <row r="35" spans="1:8" ht="19" thickBot="1" x14ac:dyDescent="0.5">
      <c r="A35" s="40" t="s">
        <v>205</v>
      </c>
      <c r="B35" s="1047"/>
      <c r="C35" s="1047"/>
      <c r="D35" s="1049"/>
      <c r="E35" s="603"/>
      <c r="G35" s="107" t="e">
        <f>+'E Mietber.'!G15-'Erg.-Übersicht'!D23-'Erg.-Übersicht'!D34</f>
        <v>#DIV/0!</v>
      </c>
      <c r="H35" s="108" t="s">
        <v>6</v>
      </c>
    </row>
    <row r="36" spans="1:8" ht="15" thickTop="1" x14ac:dyDescent="0.35">
      <c r="A36" s="31"/>
      <c r="B36" s="3"/>
      <c r="C36" s="3"/>
      <c r="D36" s="3"/>
      <c r="E36" s="603"/>
      <c r="G36" s="77"/>
      <c r="H36" s="78"/>
    </row>
    <row r="37" spans="1:8" x14ac:dyDescent="0.35">
      <c r="A37" s="31"/>
      <c r="B37" s="3"/>
      <c r="C37" s="3"/>
      <c r="D37" s="3"/>
      <c r="E37" s="604"/>
      <c r="G37" s="77"/>
      <c r="H37" s="78"/>
    </row>
    <row r="38" spans="1:8" ht="18.5" x14ac:dyDescent="0.45">
      <c r="A38" s="47" t="s">
        <v>293</v>
      </c>
      <c r="B38" s="3"/>
      <c r="C38" s="3"/>
      <c r="D38" s="3"/>
      <c r="E38" s="604"/>
      <c r="G38" s="77"/>
      <c r="H38" s="78"/>
    </row>
    <row r="39" spans="1:8" ht="18.5" x14ac:dyDescent="0.45">
      <c r="A39" s="47" t="s">
        <v>206</v>
      </c>
      <c r="B39" s="49"/>
      <c r="C39" s="3"/>
      <c r="D39" s="3"/>
      <c r="E39" s="604"/>
      <c r="F39" s="71"/>
      <c r="G39" s="77"/>
      <c r="H39" s="78"/>
    </row>
    <row r="40" spans="1:8" ht="29" x14ac:dyDescent="0.35">
      <c r="A40" s="103" t="s">
        <v>207</v>
      </c>
      <c r="B40" s="50" t="e">
        <f>+B15</f>
        <v>#DIV/0!</v>
      </c>
      <c r="C40" s="3"/>
      <c r="D40" s="3"/>
      <c r="E40" s="604"/>
      <c r="G40" s="77"/>
      <c r="H40" s="78"/>
    </row>
    <row r="41" spans="1:8" x14ac:dyDescent="0.35">
      <c r="A41" s="104" t="s">
        <v>208</v>
      </c>
      <c r="B41" s="50" t="e">
        <f>'C_1 Nebenk.'!E44*'A Flächen'!F184</f>
        <v>#VALUE!</v>
      </c>
      <c r="C41" s="3"/>
      <c r="D41" s="3"/>
      <c r="E41" s="604"/>
      <c r="G41" s="77"/>
      <c r="H41" s="78"/>
    </row>
    <row r="42" spans="1:8" ht="45.75" customHeight="1" x14ac:dyDescent="0.35">
      <c r="A42" s="103" t="s">
        <v>295</v>
      </c>
      <c r="B42" s="50" t="e">
        <f>'B_1 Geb. Kaltmiete'!D109*'A Flächen'!E184*365/12</f>
        <v>#DIV/0!</v>
      </c>
      <c r="C42" s="3"/>
      <c r="D42" s="3"/>
      <c r="E42" s="604"/>
      <c r="G42" s="77"/>
      <c r="H42" s="78"/>
    </row>
    <row r="43" spans="1:8" ht="29" x14ac:dyDescent="0.35">
      <c r="A43" s="103" t="s">
        <v>209</v>
      </c>
      <c r="B43" s="50" t="e">
        <f>+'C_1 Nebenk.'!E41</f>
        <v>#VALUE!</v>
      </c>
      <c r="C43" s="3"/>
      <c r="D43" s="3"/>
      <c r="E43" s="604"/>
      <c r="G43" s="77"/>
      <c r="H43" s="78"/>
    </row>
    <row r="44" spans="1:8" ht="31.5" customHeight="1" thickBot="1" x14ac:dyDescent="0.4">
      <c r="A44" s="105" t="s">
        <v>294</v>
      </c>
      <c r="B44" s="51" t="str">
        <f>IFERROR(IF(B20-B40-B41-B42-B43-'E Mietber.'!H21&gt;0,B20-B40-B41-B42-B43-'E Mietber.'!H21,""),"")</f>
        <v/>
      </c>
      <c r="C44" s="3"/>
      <c r="D44" s="3"/>
      <c r="E44" s="604"/>
      <c r="F44" s="82"/>
      <c r="G44" s="83"/>
      <c r="H44" s="84"/>
    </row>
    <row r="45" spans="1:8" ht="15" thickTop="1" x14ac:dyDescent="0.35">
      <c r="A45" s="13" t="s">
        <v>296</v>
      </c>
      <c r="B45" s="106" t="e">
        <f>SUM(B40:B44)</f>
        <v>#DIV/0!</v>
      </c>
      <c r="C45" s="3"/>
      <c r="D45" s="3"/>
      <c r="E45" s="604"/>
      <c r="G45" s="77"/>
      <c r="H45" s="78"/>
    </row>
    <row r="46" spans="1:8" x14ac:dyDescent="0.35">
      <c r="A46" s="564"/>
      <c r="B46" s="605"/>
      <c r="C46" s="605"/>
      <c r="D46" s="605"/>
      <c r="E46" s="606"/>
      <c r="G46" s="77"/>
      <c r="H46" s="78"/>
    </row>
    <row r="47" spans="1:8" x14ac:dyDescent="0.35">
      <c r="A47" s="561" t="s">
        <v>306</v>
      </c>
      <c r="B47" s="3"/>
      <c r="C47" s="3"/>
      <c r="D47" s="3"/>
      <c r="E47" s="604"/>
      <c r="G47" s="77"/>
      <c r="H47" s="78"/>
    </row>
    <row r="48" spans="1:8" x14ac:dyDescent="0.35">
      <c r="A48" s="562" t="s">
        <v>307</v>
      </c>
      <c r="B48" s="563"/>
      <c r="C48" s="3"/>
      <c r="D48" s="3"/>
      <c r="E48" s="604"/>
      <c r="G48" s="77"/>
      <c r="H48" s="78"/>
    </row>
    <row r="49" spans="1:8" x14ac:dyDescent="0.35">
      <c r="A49" s="564" t="s">
        <v>309</v>
      </c>
      <c r="B49" s="8">
        <f>+'E Mietber.'!H21</f>
        <v>0</v>
      </c>
      <c r="C49" s="3"/>
      <c r="D49" s="3"/>
      <c r="E49" s="604"/>
      <c r="G49" s="107">
        <f>+B49-'E Mietber.'!H21</f>
        <v>0</v>
      </c>
      <c r="H49" s="108" t="s">
        <v>6</v>
      </c>
    </row>
    <row r="50" spans="1:8" x14ac:dyDescent="0.35">
      <c r="A50" s="565" t="s">
        <v>308</v>
      </c>
      <c r="B50" s="566" t="e">
        <f>+'E Mietber.'!H15/B49-1</f>
        <v>#DIV/0!</v>
      </c>
      <c r="C50" s="3"/>
      <c r="D50" s="3"/>
      <c r="E50" s="604"/>
      <c r="G50" s="107" t="e">
        <f>+B50-('E Mietber.'!H15/'E Mietber.'!H21-1)</f>
        <v>#DIV/0!</v>
      </c>
      <c r="H50" s="108" t="s">
        <v>6</v>
      </c>
    </row>
    <row r="51" spans="1:8" x14ac:dyDescent="0.35">
      <c r="A51" s="565" t="s">
        <v>305</v>
      </c>
      <c r="B51" s="8">
        <f>+'Erg.-Übersicht'!B49*1.25</f>
        <v>0</v>
      </c>
      <c r="C51" s="605"/>
      <c r="D51" s="605"/>
      <c r="E51" s="606"/>
      <c r="G51" s="107">
        <f>+B51-'E Mietber.'!H21-'E Mietber.'!F29</f>
        <v>0</v>
      </c>
      <c r="H51" s="108" t="s">
        <v>6</v>
      </c>
    </row>
  </sheetData>
  <sheetProtection algorithmName="SHA-512" hashValue="wWO2VTHF4H+SL8AVLHmV20oFwe/eTDY/1xllifmkET0rTPkNWo0/xTbbiBUja6xe9Ckal7/KQMNNIVlPwxpagg==" saltValue="Slv3n5n1QkEYZKVF67lI6A==" spinCount="100000" sheet="1" objects="1" scenario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38" priority="14">
      <formula>ISERROR(A25)</formula>
    </cfRule>
  </conditionalFormatting>
  <conditionalFormatting sqref="G14:G16 G18:G20">
    <cfRule type="expression" dxfId="137" priority="12">
      <formula>G14&lt;&gt;0</formula>
    </cfRule>
  </conditionalFormatting>
  <conditionalFormatting sqref="G35">
    <cfRule type="expression" dxfId="136" priority="11">
      <formula>G35&lt;&gt;0</formula>
    </cfRule>
  </conditionalFormatting>
  <conditionalFormatting sqref="G17">
    <cfRule type="expression" dxfId="135" priority="9">
      <formula>G17&lt;&gt;0</formula>
    </cfRule>
  </conditionalFormatting>
  <conditionalFormatting sqref="G12">
    <cfRule type="expression" dxfId="134" priority="6">
      <formula>$G$12=""</formula>
    </cfRule>
    <cfRule type="expression" dxfId="133" priority="13">
      <formula>G12&lt;&gt;0</formula>
    </cfRule>
  </conditionalFormatting>
  <conditionalFormatting sqref="G11">
    <cfRule type="expression" dxfId="132" priority="4">
      <formula>$G$11=""</formula>
    </cfRule>
    <cfRule type="expression" dxfId="131" priority="5">
      <formula>G11&lt;&gt;0</formula>
    </cfRule>
  </conditionalFormatting>
  <conditionalFormatting sqref="G51">
    <cfRule type="expression" dxfId="130" priority="3">
      <formula>G51&lt;&gt;0</formula>
    </cfRule>
  </conditionalFormatting>
  <conditionalFormatting sqref="G49">
    <cfRule type="expression" dxfId="129" priority="2">
      <formula>G49&lt;&gt;0</formula>
    </cfRule>
  </conditionalFormatting>
  <conditionalFormatting sqref="G50">
    <cfRule type="expression" dxfId="128" priority="1">
      <formula>G50&lt;&gt;0</formula>
    </cfRule>
  </conditionalFormatting>
  <pageMargins left="0.7" right="0.7" top="0.78740157499999996" bottom="0.78740157499999996" header="0.3" footer="0.3"/>
  <pageSetup paperSize="9" scale="81"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6" sqref="A6"/>
    </sheetView>
  </sheetViews>
  <sheetFormatPr baseColWidth="10" defaultColWidth="11.453125" defaultRowHeight="14.5" x14ac:dyDescent="0.35"/>
  <cols>
    <col min="1" max="1" width="11.1796875" style="114" customWidth="1"/>
    <col min="2" max="2" width="24.453125" style="114" customWidth="1"/>
    <col min="3" max="4" width="14" style="114" customWidth="1"/>
    <col min="5" max="5" width="13.81640625" style="114" customWidth="1"/>
    <col min="6" max="6" width="13.1796875" style="114" customWidth="1"/>
    <col min="7" max="7" width="13.26953125" style="114" customWidth="1"/>
    <col min="8" max="8" width="5" style="60" customWidth="1"/>
    <col min="9" max="9" width="7.7265625" style="114" bestFit="1" customWidth="1"/>
    <col min="10" max="16384" width="11.453125" style="114"/>
  </cols>
  <sheetData>
    <row r="1" spans="1:16" ht="26" x14ac:dyDescent="0.6">
      <c r="A1" s="607" t="s">
        <v>323</v>
      </c>
      <c r="B1" s="612"/>
      <c r="C1" s="612"/>
      <c r="D1" s="612"/>
      <c r="E1" s="612"/>
      <c r="F1" s="612"/>
      <c r="G1" s="602"/>
      <c r="H1" s="916"/>
      <c r="I1" s="917"/>
      <c r="J1" s="917"/>
      <c r="K1" s="917"/>
      <c r="L1" s="917"/>
      <c r="M1" s="917"/>
      <c r="N1" s="917"/>
      <c r="O1" s="917"/>
      <c r="P1" s="917"/>
    </row>
    <row r="2" spans="1:16" ht="26" x14ac:dyDescent="0.6">
      <c r="A2" s="608" t="s">
        <v>23</v>
      </c>
      <c r="B2" s="518"/>
      <c r="C2" s="518"/>
      <c r="D2" s="518"/>
      <c r="E2" s="613"/>
      <c r="F2" s="518"/>
      <c r="G2" s="609" t="str">
        <f>+Stammdaten!D2</f>
        <v>Version 1.8</v>
      </c>
      <c r="H2" s="916"/>
      <c r="I2" s="917"/>
      <c r="J2" s="917"/>
      <c r="K2" s="917"/>
      <c r="L2" s="917"/>
      <c r="M2" s="917"/>
      <c r="N2" s="917"/>
      <c r="O2" s="917"/>
      <c r="P2" s="917"/>
    </row>
    <row r="3" spans="1:16" x14ac:dyDescent="0.35">
      <c r="A3" s="111">
        <f>+Stammdaten!B5</f>
        <v>0</v>
      </c>
      <c r="B3" s="466"/>
      <c r="C3" s="302">
        <f>+Stammdaten!B3</f>
        <v>0</v>
      </c>
      <c r="D3" s="302"/>
      <c r="E3" s="614"/>
      <c r="F3" s="610" t="s">
        <v>40</v>
      </c>
      <c r="G3" s="611"/>
      <c r="H3" s="916"/>
      <c r="I3" s="917"/>
      <c r="J3" s="917"/>
      <c r="K3" s="917"/>
      <c r="L3" s="917"/>
      <c r="M3" s="917"/>
      <c r="N3" s="917"/>
      <c r="O3" s="917"/>
      <c r="P3" s="917"/>
    </row>
    <row r="4" spans="1:16" s="121" customFormat="1" ht="15" thickBot="1" x14ac:dyDescent="0.4">
      <c r="A4" s="118"/>
      <c r="B4" s="119"/>
      <c r="C4" s="119"/>
      <c r="D4" s="119"/>
      <c r="E4" s="119"/>
      <c r="F4" s="119"/>
      <c r="G4" s="120"/>
      <c r="H4" s="509"/>
      <c r="I4" s="509"/>
      <c r="J4" s="509"/>
      <c r="K4" s="509"/>
      <c r="L4" s="509"/>
      <c r="M4" s="509"/>
      <c r="N4" s="509"/>
      <c r="O4" s="509"/>
      <c r="P4" s="509"/>
    </row>
    <row r="5" spans="1:16" s="121" customFormat="1" ht="30.75" customHeight="1" thickBot="1" x14ac:dyDescent="0.4">
      <c r="A5" s="1061" t="s">
        <v>284</v>
      </c>
      <c r="B5" s="1062"/>
      <c r="C5" s="1062"/>
      <c r="D5" s="1062"/>
      <c r="E5" s="1062"/>
      <c r="F5" s="1062"/>
      <c r="G5" s="1063"/>
      <c r="H5" s="509"/>
      <c r="I5" s="509"/>
      <c r="J5" s="918"/>
      <c r="K5" s="509"/>
      <c r="L5" s="509"/>
      <c r="M5" s="509"/>
      <c r="N5" s="509"/>
      <c r="O5" s="509"/>
      <c r="P5" s="509"/>
    </row>
    <row r="6" spans="1:16" s="121" customFormat="1" ht="15" thickBot="1" x14ac:dyDescent="0.4">
      <c r="A6" s="122"/>
      <c r="B6" s="123"/>
      <c r="C6" s="123"/>
      <c r="D6" s="123"/>
      <c r="E6" s="123"/>
      <c r="F6" s="123"/>
      <c r="G6" s="124"/>
      <c r="H6" s="509"/>
      <c r="I6" s="509"/>
      <c r="J6" s="919"/>
      <c r="K6" s="509"/>
      <c r="L6" s="509"/>
      <c r="M6" s="509"/>
      <c r="N6" s="509"/>
      <c r="O6" s="509"/>
      <c r="P6" s="509"/>
    </row>
    <row r="7" spans="1:16" s="121" customFormat="1" ht="15" thickBot="1" x14ac:dyDescent="0.4">
      <c r="A7" s="748" t="s">
        <v>102</v>
      </c>
      <c r="B7" s="749"/>
      <c r="C7" s="749"/>
      <c r="D7" s="749"/>
      <c r="E7" s="158">
        <v>1</v>
      </c>
      <c r="F7" s="159">
        <v>0</v>
      </c>
      <c r="G7" s="159">
        <v>0</v>
      </c>
      <c r="H7" s="509"/>
      <c r="I7" s="509"/>
      <c r="J7" s="509"/>
      <c r="K7" s="509"/>
      <c r="L7" s="509"/>
      <c r="M7" s="509"/>
      <c r="N7" s="509"/>
      <c r="O7" s="509"/>
      <c r="P7" s="509"/>
    </row>
    <row r="8" spans="1:16" ht="29.5" thickBot="1" x14ac:dyDescent="0.4">
      <c r="A8" s="750" t="s">
        <v>0</v>
      </c>
      <c r="B8" s="750" t="s">
        <v>1</v>
      </c>
      <c r="C8" s="751" t="s">
        <v>106</v>
      </c>
      <c r="D8" s="752" t="s">
        <v>108</v>
      </c>
      <c r="E8" s="753" t="s">
        <v>107</v>
      </c>
      <c r="F8" s="754" t="s">
        <v>20</v>
      </c>
      <c r="G8" s="754" t="s">
        <v>114</v>
      </c>
      <c r="H8" s="916"/>
      <c r="I8" s="917"/>
      <c r="J8" s="917"/>
      <c r="K8" s="917"/>
      <c r="L8" s="917"/>
      <c r="M8" s="917"/>
      <c r="N8" s="917"/>
      <c r="O8" s="917"/>
      <c r="P8" s="917"/>
    </row>
    <row r="9" spans="1:16" x14ac:dyDescent="0.35">
      <c r="A9" s="125"/>
      <c r="B9" s="126"/>
      <c r="C9" s="126"/>
      <c r="D9" s="127"/>
      <c r="E9" s="303">
        <f t="shared" ref="E9:E37" si="0">+D9*$E$7</f>
        <v>0</v>
      </c>
      <c r="F9" s="304">
        <f t="shared" ref="F9:F37" si="1">+D9*$F$7</f>
        <v>0</v>
      </c>
      <c r="G9" s="304">
        <f>+D9*$G$7</f>
        <v>0</v>
      </c>
      <c r="H9" s="916"/>
      <c r="I9" s="917"/>
      <c r="J9" s="917"/>
      <c r="K9" s="917"/>
      <c r="L9" s="917"/>
      <c r="M9" s="917"/>
      <c r="N9" s="917"/>
      <c r="O9" s="917"/>
      <c r="P9" s="917"/>
    </row>
    <row r="10" spans="1:16" x14ac:dyDescent="0.35">
      <c r="A10" s="125"/>
      <c r="B10" s="126"/>
      <c r="C10" s="126"/>
      <c r="D10" s="127"/>
      <c r="E10" s="305">
        <f t="shared" si="0"/>
        <v>0</v>
      </c>
      <c r="F10" s="306">
        <f t="shared" si="1"/>
        <v>0</v>
      </c>
      <c r="G10" s="304">
        <f t="shared" ref="G10:G65" si="2">+D10*$G$7</f>
        <v>0</v>
      </c>
      <c r="H10" s="916"/>
      <c r="I10" s="917"/>
      <c r="J10" s="917"/>
      <c r="K10" s="917"/>
      <c r="L10" s="917"/>
      <c r="M10" s="917"/>
      <c r="N10" s="917"/>
      <c r="O10" s="917"/>
      <c r="P10" s="917"/>
    </row>
    <row r="11" spans="1:16" x14ac:dyDescent="0.35">
      <c r="A11" s="125"/>
      <c r="B11" s="126"/>
      <c r="C11" s="126"/>
      <c r="D11" s="127"/>
      <c r="E11" s="305">
        <f t="shared" si="0"/>
        <v>0</v>
      </c>
      <c r="F11" s="306">
        <f t="shared" si="1"/>
        <v>0</v>
      </c>
      <c r="G11" s="304">
        <f t="shared" si="2"/>
        <v>0</v>
      </c>
      <c r="H11" s="916"/>
      <c r="I11" s="917"/>
      <c r="J11" s="917"/>
      <c r="K11" s="917"/>
      <c r="L11" s="917"/>
      <c r="M11" s="917"/>
      <c r="N11" s="917"/>
      <c r="O11" s="917"/>
      <c r="P11" s="917"/>
    </row>
    <row r="12" spans="1:16" x14ac:dyDescent="0.35">
      <c r="A12" s="125"/>
      <c r="B12" s="126"/>
      <c r="C12" s="126"/>
      <c r="D12" s="127"/>
      <c r="E12" s="305">
        <f t="shared" si="0"/>
        <v>0</v>
      </c>
      <c r="F12" s="306">
        <f t="shared" si="1"/>
        <v>0</v>
      </c>
      <c r="G12" s="304">
        <f t="shared" si="2"/>
        <v>0</v>
      </c>
      <c r="H12" s="916"/>
      <c r="I12" s="917"/>
      <c r="J12" s="917"/>
      <c r="K12" s="917"/>
      <c r="L12" s="917"/>
      <c r="M12" s="917"/>
      <c r="N12" s="917"/>
      <c r="O12" s="917"/>
      <c r="P12" s="917"/>
    </row>
    <row r="13" spans="1:16" x14ac:dyDescent="0.35">
      <c r="A13" s="125"/>
      <c r="B13" s="126"/>
      <c r="C13" s="126"/>
      <c r="D13" s="127"/>
      <c r="E13" s="305">
        <f t="shared" si="0"/>
        <v>0</v>
      </c>
      <c r="F13" s="306">
        <f t="shared" si="1"/>
        <v>0</v>
      </c>
      <c r="G13" s="304">
        <f t="shared" si="2"/>
        <v>0</v>
      </c>
      <c r="H13" s="916"/>
      <c r="I13" s="917"/>
      <c r="J13" s="917"/>
      <c r="K13" s="917"/>
      <c r="L13" s="917"/>
      <c r="M13" s="917"/>
      <c r="N13" s="917"/>
      <c r="O13" s="917"/>
      <c r="P13" s="917"/>
    </row>
    <row r="14" spans="1:16" x14ac:dyDescent="0.35">
      <c r="A14" s="125"/>
      <c r="B14" s="126"/>
      <c r="C14" s="126"/>
      <c r="D14" s="127"/>
      <c r="E14" s="305">
        <f t="shared" si="0"/>
        <v>0</v>
      </c>
      <c r="F14" s="306">
        <f t="shared" si="1"/>
        <v>0</v>
      </c>
      <c r="G14" s="304">
        <f t="shared" si="2"/>
        <v>0</v>
      </c>
      <c r="H14" s="916"/>
      <c r="I14" s="917"/>
      <c r="J14" s="917"/>
      <c r="K14" s="917"/>
      <c r="L14" s="917"/>
      <c r="M14" s="917"/>
      <c r="N14" s="917"/>
      <c r="O14" s="917"/>
      <c r="P14" s="917"/>
    </row>
    <row r="15" spans="1:16" x14ac:dyDescent="0.35">
      <c r="A15" s="125"/>
      <c r="B15" s="126"/>
      <c r="C15" s="126"/>
      <c r="D15" s="127"/>
      <c r="E15" s="305">
        <f t="shared" si="0"/>
        <v>0</v>
      </c>
      <c r="F15" s="306">
        <f t="shared" si="1"/>
        <v>0</v>
      </c>
      <c r="G15" s="304">
        <f t="shared" si="2"/>
        <v>0</v>
      </c>
    </row>
    <row r="16" spans="1:16" x14ac:dyDescent="0.35">
      <c r="A16" s="125"/>
      <c r="B16" s="126"/>
      <c r="C16" s="126"/>
      <c r="D16" s="127"/>
      <c r="E16" s="305">
        <f t="shared" si="0"/>
        <v>0</v>
      </c>
      <c r="F16" s="306">
        <f t="shared" si="1"/>
        <v>0</v>
      </c>
      <c r="G16" s="304">
        <f t="shared" si="2"/>
        <v>0</v>
      </c>
    </row>
    <row r="17" spans="1:7" x14ac:dyDescent="0.35">
      <c r="A17" s="125"/>
      <c r="B17" s="126"/>
      <c r="C17" s="126"/>
      <c r="D17" s="127"/>
      <c r="E17" s="305">
        <f t="shared" si="0"/>
        <v>0</v>
      </c>
      <c r="F17" s="306">
        <f t="shared" si="1"/>
        <v>0</v>
      </c>
      <c r="G17" s="304">
        <f t="shared" si="2"/>
        <v>0</v>
      </c>
    </row>
    <row r="18" spans="1:7" x14ac:dyDescent="0.35">
      <c r="A18" s="125"/>
      <c r="B18" s="126"/>
      <c r="C18" s="126"/>
      <c r="D18" s="127"/>
      <c r="E18" s="305">
        <f t="shared" si="0"/>
        <v>0</v>
      </c>
      <c r="F18" s="306">
        <f t="shared" si="1"/>
        <v>0</v>
      </c>
      <c r="G18" s="304">
        <f t="shared" si="2"/>
        <v>0</v>
      </c>
    </row>
    <row r="19" spans="1:7" x14ac:dyDescent="0.35">
      <c r="A19" s="125"/>
      <c r="B19" s="126"/>
      <c r="C19" s="126"/>
      <c r="D19" s="127"/>
      <c r="E19" s="305">
        <f t="shared" si="0"/>
        <v>0</v>
      </c>
      <c r="F19" s="306">
        <f t="shared" si="1"/>
        <v>0</v>
      </c>
      <c r="G19" s="304">
        <f t="shared" si="2"/>
        <v>0</v>
      </c>
    </row>
    <row r="20" spans="1:7" x14ac:dyDescent="0.35">
      <c r="A20" s="125"/>
      <c r="B20" s="126"/>
      <c r="C20" s="126"/>
      <c r="D20" s="127"/>
      <c r="E20" s="305">
        <f t="shared" si="0"/>
        <v>0</v>
      </c>
      <c r="F20" s="306">
        <f t="shared" si="1"/>
        <v>0</v>
      </c>
      <c r="G20" s="304">
        <f t="shared" si="2"/>
        <v>0</v>
      </c>
    </row>
    <row r="21" spans="1:7" x14ac:dyDescent="0.35">
      <c r="A21" s="125"/>
      <c r="B21" s="126"/>
      <c r="C21" s="126"/>
      <c r="D21" s="127"/>
      <c r="E21" s="305">
        <f t="shared" si="0"/>
        <v>0</v>
      </c>
      <c r="F21" s="306">
        <f t="shared" si="1"/>
        <v>0</v>
      </c>
      <c r="G21" s="304">
        <f t="shared" si="2"/>
        <v>0</v>
      </c>
    </row>
    <row r="22" spans="1:7" x14ac:dyDescent="0.35">
      <c r="A22" s="125"/>
      <c r="B22" s="126"/>
      <c r="C22" s="126"/>
      <c r="D22" s="127"/>
      <c r="E22" s="305">
        <f t="shared" si="0"/>
        <v>0</v>
      </c>
      <c r="F22" s="306">
        <f t="shared" si="1"/>
        <v>0</v>
      </c>
      <c r="G22" s="304">
        <f t="shared" si="2"/>
        <v>0</v>
      </c>
    </row>
    <row r="23" spans="1:7" x14ac:dyDescent="0.35">
      <c r="A23" s="125"/>
      <c r="B23" s="126"/>
      <c r="C23" s="126"/>
      <c r="D23" s="127"/>
      <c r="E23" s="305">
        <f t="shared" si="0"/>
        <v>0</v>
      </c>
      <c r="F23" s="306">
        <f t="shared" si="1"/>
        <v>0</v>
      </c>
      <c r="G23" s="304">
        <f t="shared" si="2"/>
        <v>0</v>
      </c>
    </row>
    <row r="24" spans="1:7" x14ac:dyDescent="0.35">
      <c r="A24" s="125"/>
      <c r="B24" s="126"/>
      <c r="C24" s="126"/>
      <c r="D24" s="127"/>
      <c r="E24" s="305">
        <f t="shared" si="0"/>
        <v>0</v>
      </c>
      <c r="F24" s="306">
        <f t="shared" si="1"/>
        <v>0</v>
      </c>
      <c r="G24" s="304">
        <f t="shared" si="2"/>
        <v>0</v>
      </c>
    </row>
    <row r="25" spans="1:7" x14ac:dyDescent="0.35">
      <c r="A25" s="125"/>
      <c r="B25" s="126"/>
      <c r="C25" s="126"/>
      <c r="D25" s="127"/>
      <c r="E25" s="305">
        <f t="shared" si="0"/>
        <v>0</v>
      </c>
      <c r="F25" s="306">
        <f t="shared" si="1"/>
        <v>0</v>
      </c>
      <c r="G25" s="304">
        <f t="shared" si="2"/>
        <v>0</v>
      </c>
    </row>
    <row r="26" spans="1:7" x14ac:dyDescent="0.35">
      <c r="A26" s="125"/>
      <c r="B26" s="126"/>
      <c r="C26" s="126"/>
      <c r="D26" s="127"/>
      <c r="E26" s="305">
        <f t="shared" si="0"/>
        <v>0</v>
      </c>
      <c r="F26" s="306">
        <f t="shared" si="1"/>
        <v>0</v>
      </c>
      <c r="G26" s="304">
        <f t="shared" si="2"/>
        <v>0</v>
      </c>
    </row>
    <row r="27" spans="1:7" x14ac:dyDescent="0.35">
      <c r="A27" s="125"/>
      <c r="B27" s="126"/>
      <c r="C27" s="126"/>
      <c r="D27" s="127"/>
      <c r="E27" s="305">
        <f t="shared" si="0"/>
        <v>0</v>
      </c>
      <c r="F27" s="306">
        <f t="shared" si="1"/>
        <v>0</v>
      </c>
      <c r="G27" s="304">
        <f t="shared" si="2"/>
        <v>0</v>
      </c>
    </row>
    <row r="28" spans="1:7" x14ac:dyDescent="0.35">
      <c r="A28" s="125"/>
      <c r="B28" s="126"/>
      <c r="C28" s="126"/>
      <c r="D28" s="127"/>
      <c r="E28" s="305">
        <f t="shared" si="0"/>
        <v>0</v>
      </c>
      <c r="F28" s="306">
        <f t="shared" si="1"/>
        <v>0</v>
      </c>
      <c r="G28" s="304">
        <f t="shared" si="2"/>
        <v>0</v>
      </c>
    </row>
    <row r="29" spans="1:7" x14ac:dyDescent="0.35">
      <c r="A29" s="125"/>
      <c r="B29" s="126"/>
      <c r="C29" s="126"/>
      <c r="D29" s="127"/>
      <c r="E29" s="305">
        <f t="shared" si="0"/>
        <v>0</v>
      </c>
      <c r="F29" s="306">
        <f t="shared" si="1"/>
        <v>0</v>
      </c>
      <c r="G29" s="304">
        <f t="shared" si="2"/>
        <v>0</v>
      </c>
    </row>
    <row r="30" spans="1:7" x14ac:dyDescent="0.35">
      <c r="A30" s="125"/>
      <c r="B30" s="126"/>
      <c r="C30" s="126"/>
      <c r="D30" s="127"/>
      <c r="E30" s="305">
        <f t="shared" si="0"/>
        <v>0</v>
      </c>
      <c r="F30" s="306">
        <f t="shared" si="1"/>
        <v>0</v>
      </c>
      <c r="G30" s="304">
        <f t="shared" si="2"/>
        <v>0</v>
      </c>
    </row>
    <row r="31" spans="1:7" x14ac:dyDescent="0.35">
      <c r="A31" s="125"/>
      <c r="B31" s="126"/>
      <c r="C31" s="126"/>
      <c r="D31" s="127"/>
      <c r="E31" s="305">
        <f t="shared" si="0"/>
        <v>0</v>
      </c>
      <c r="F31" s="306">
        <f t="shared" si="1"/>
        <v>0</v>
      </c>
      <c r="G31" s="304">
        <f t="shared" si="2"/>
        <v>0</v>
      </c>
    </row>
    <row r="32" spans="1:7" x14ac:dyDescent="0.35">
      <c r="A32" s="125"/>
      <c r="B32" s="126"/>
      <c r="C32" s="126"/>
      <c r="D32" s="127"/>
      <c r="E32" s="305">
        <f t="shared" si="0"/>
        <v>0</v>
      </c>
      <c r="F32" s="306">
        <f t="shared" si="1"/>
        <v>0</v>
      </c>
      <c r="G32" s="304">
        <f t="shared" si="2"/>
        <v>0</v>
      </c>
    </row>
    <row r="33" spans="1:7" x14ac:dyDescent="0.35">
      <c r="A33" s="125"/>
      <c r="B33" s="126"/>
      <c r="C33" s="126"/>
      <c r="D33" s="127"/>
      <c r="E33" s="305">
        <f t="shared" si="0"/>
        <v>0</v>
      </c>
      <c r="F33" s="306">
        <f t="shared" si="1"/>
        <v>0</v>
      </c>
      <c r="G33" s="304">
        <f t="shared" si="2"/>
        <v>0</v>
      </c>
    </row>
    <row r="34" spans="1:7" x14ac:dyDescent="0.35">
      <c r="A34" s="125"/>
      <c r="B34" s="126"/>
      <c r="C34" s="126"/>
      <c r="D34" s="127"/>
      <c r="E34" s="305">
        <f t="shared" si="0"/>
        <v>0</v>
      </c>
      <c r="F34" s="306">
        <f t="shared" si="1"/>
        <v>0</v>
      </c>
      <c r="G34" s="304">
        <f t="shared" si="2"/>
        <v>0</v>
      </c>
    </row>
    <row r="35" spans="1:7" x14ac:dyDescent="0.35">
      <c r="A35" s="125"/>
      <c r="B35" s="126"/>
      <c r="C35" s="126"/>
      <c r="D35" s="127"/>
      <c r="E35" s="305">
        <f t="shared" si="0"/>
        <v>0</v>
      </c>
      <c r="F35" s="306">
        <f t="shared" si="1"/>
        <v>0</v>
      </c>
      <c r="G35" s="304">
        <f t="shared" si="2"/>
        <v>0</v>
      </c>
    </row>
    <row r="36" spans="1:7" x14ac:dyDescent="0.35">
      <c r="A36" s="125"/>
      <c r="B36" s="126"/>
      <c r="C36" s="126"/>
      <c r="D36" s="127"/>
      <c r="E36" s="305">
        <f t="shared" si="0"/>
        <v>0</v>
      </c>
      <c r="F36" s="306">
        <f t="shared" si="1"/>
        <v>0</v>
      </c>
      <c r="G36" s="304">
        <f t="shared" si="2"/>
        <v>0</v>
      </c>
    </row>
    <row r="37" spans="1:7" x14ac:dyDescent="0.35">
      <c r="A37" s="125"/>
      <c r="B37" s="126"/>
      <c r="C37" s="126"/>
      <c r="D37" s="127"/>
      <c r="E37" s="305">
        <f t="shared" si="0"/>
        <v>0</v>
      </c>
      <c r="F37" s="306">
        <f t="shared" si="1"/>
        <v>0</v>
      </c>
      <c r="G37" s="304">
        <f t="shared" si="2"/>
        <v>0</v>
      </c>
    </row>
    <row r="38" spans="1:7" x14ac:dyDescent="0.35">
      <c r="A38" s="125"/>
      <c r="B38" s="126"/>
      <c r="C38" s="126"/>
      <c r="D38" s="127"/>
      <c r="E38" s="305">
        <f t="shared" ref="E38:E65" si="3">+D38*$E$7</f>
        <v>0</v>
      </c>
      <c r="F38" s="306">
        <f t="shared" ref="F38:F65" si="4">+D38*$F$7</f>
        <v>0</v>
      </c>
      <c r="G38" s="304">
        <f t="shared" si="2"/>
        <v>0</v>
      </c>
    </row>
    <row r="39" spans="1:7" x14ac:dyDescent="0.35">
      <c r="A39" s="125"/>
      <c r="B39" s="126"/>
      <c r="C39" s="126"/>
      <c r="D39" s="127"/>
      <c r="E39" s="305">
        <f t="shared" si="3"/>
        <v>0</v>
      </c>
      <c r="F39" s="306">
        <f t="shared" si="4"/>
        <v>0</v>
      </c>
      <c r="G39" s="304">
        <f t="shared" si="2"/>
        <v>0</v>
      </c>
    </row>
    <row r="40" spans="1:7" x14ac:dyDescent="0.35">
      <c r="A40" s="125"/>
      <c r="B40" s="126"/>
      <c r="C40" s="126"/>
      <c r="D40" s="127"/>
      <c r="E40" s="305">
        <f t="shared" si="3"/>
        <v>0</v>
      </c>
      <c r="F40" s="306">
        <f t="shared" si="4"/>
        <v>0</v>
      </c>
      <c r="G40" s="304">
        <f t="shared" si="2"/>
        <v>0</v>
      </c>
    </row>
    <row r="41" spans="1:7" x14ac:dyDescent="0.35">
      <c r="A41" s="125"/>
      <c r="B41" s="126"/>
      <c r="C41" s="126"/>
      <c r="D41" s="127"/>
      <c r="E41" s="305">
        <f t="shared" si="3"/>
        <v>0</v>
      </c>
      <c r="F41" s="306">
        <f t="shared" si="4"/>
        <v>0</v>
      </c>
      <c r="G41" s="304">
        <f t="shared" si="2"/>
        <v>0</v>
      </c>
    </row>
    <row r="42" spans="1:7" x14ac:dyDescent="0.35">
      <c r="A42" s="125"/>
      <c r="B42" s="126"/>
      <c r="C42" s="126"/>
      <c r="D42" s="127"/>
      <c r="E42" s="305">
        <f t="shared" si="3"/>
        <v>0</v>
      </c>
      <c r="F42" s="306">
        <f t="shared" si="4"/>
        <v>0</v>
      </c>
      <c r="G42" s="304">
        <f t="shared" si="2"/>
        <v>0</v>
      </c>
    </row>
    <row r="43" spans="1:7" x14ac:dyDescent="0.35">
      <c r="A43" s="125"/>
      <c r="B43" s="126"/>
      <c r="C43" s="126"/>
      <c r="D43" s="127"/>
      <c r="E43" s="305">
        <f t="shared" si="3"/>
        <v>0</v>
      </c>
      <c r="F43" s="306">
        <f t="shared" si="4"/>
        <v>0</v>
      </c>
      <c r="G43" s="304">
        <f t="shared" si="2"/>
        <v>0</v>
      </c>
    </row>
    <row r="44" spans="1:7" x14ac:dyDescent="0.35">
      <c r="A44" s="125"/>
      <c r="B44" s="126"/>
      <c r="C44" s="126"/>
      <c r="D44" s="127"/>
      <c r="E44" s="305">
        <f t="shared" si="3"/>
        <v>0</v>
      </c>
      <c r="F44" s="306">
        <f t="shared" si="4"/>
        <v>0</v>
      </c>
      <c r="G44" s="304">
        <f t="shared" si="2"/>
        <v>0</v>
      </c>
    </row>
    <row r="45" spans="1:7" x14ac:dyDescent="0.35">
      <c r="A45" s="125"/>
      <c r="B45" s="126"/>
      <c r="C45" s="126"/>
      <c r="D45" s="127"/>
      <c r="E45" s="305">
        <f t="shared" si="3"/>
        <v>0</v>
      </c>
      <c r="F45" s="306">
        <f t="shared" si="4"/>
        <v>0</v>
      </c>
      <c r="G45" s="304">
        <f t="shared" si="2"/>
        <v>0</v>
      </c>
    </row>
    <row r="46" spans="1:7" x14ac:dyDescent="0.35">
      <c r="A46" s="125"/>
      <c r="B46" s="126"/>
      <c r="C46" s="126"/>
      <c r="D46" s="127"/>
      <c r="E46" s="305">
        <f t="shared" si="3"/>
        <v>0</v>
      </c>
      <c r="F46" s="306">
        <f t="shared" si="4"/>
        <v>0</v>
      </c>
      <c r="G46" s="304">
        <f t="shared" si="2"/>
        <v>0</v>
      </c>
    </row>
    <row r="47" spans="1:7" x14ac:dyDescent="0.35">
      <c r="A47" s="125"/>
      <c r="B47" s="126"/>
      <c r="C47" s="126"/>
      <c r="D47" s="127"/>
      <c r="E47" s="305">
        <f t="shared" si="3"/>
        <v>0</v>
      </c>
      <c r="F47" s="306">
        <f t="shared" si="4"/>
        <v>0</v>
      </c>
      <c r="G47" s="304">
        <f t="shared" si="2"/>
        <v>0</v>
      </c>
    </row>
    <row r="48" spans="1:7" x14ac:dyDescent="0.35">
      <c r="A48" s="125"/>
      <c r="B48" s="126"/>
      <c r="C48" s="126"/>
      <c r="D48" s="127"/>
      <c r="E48" s="305">
        <f t="shared" si="3"/>
        <v>0</v>
      </c>
      <c r="F48" s="306">
        <f t="shared" si="4"/>
        <v>0</v>
      </c>
      <c r="G48" s="304">
        <f t="shared" si="2"/>
        <v>0</v>
      </c>
    </row>
    <row r="49" spans="1:7" x14ac:dyDescent="0.35">
      <c r="A49" s="125"/>
      <c r="B49" s="126"/>
      <c r="C49" s="126"/>
      <c r="D49" s="127"/>
      <c r="E49" s="305">
        <f t="shared" si="3"/>
        <v>0</v>
      </c>
      <c r="F49" s="306">
        <f t="shared" si="4"/>
        <v>0</v>
      </c>
      <c r="G49" s="304">
        <f t="shared" si="2"/>
        <v>0</v>
      </c>
    </row>
    <row r="50" spans="1:7" x14ac:dyDescent="0.35">
      <c r="A50" s="125"/>
      <c r="B50" s="126"/>
      <c r="C50" s="126"/>
      <c r="D50" s="127"/>
      <c r="E50" s="305">
        <f t="shared" si="3"/>
        <v>0</v>
      </c>
      <c r="F50" s="306">
        <f t="shared" si="4"/>
        <v>0</v>
      </c>
      <c r="G50" s="304">
        <f t="shared" si="2"/>
        <v>0</v>
      </c>
    </row>
    <row r="51" spans="1:7" x14ac:dyDescent="0.35">
      <c r="A51" s="125"/>
      <c r="B51" s="126"/>
      <c r="C51" s="126"/>
      <c r="D51" s="127"/>
      <c r="E51" s="305">
        <f t="shared" si="3"/>
        <v>0</v>
      </c>
      <c r="F51" s="306">
        <f t="shared" si="4"/>
        <v>0</v>
      </c>
      <c r="G51" s="304">
        <f>+D51*$G$7</f>
        <v>0</v>
      </c>
    </row>
    <row r="52" spans="1:7" x14ac:dyDescent="0.35">
      <c r="A52" s="125"/>
      <c r="B52" s="126"/>
      <c r="C52" s="126"/>
      <c r="D52" s="127"/>
      <c r="E52" s="305">
        <f t="shared" si="3"/>
        <v>0</v>
      </c>
      <c r="F52" s="306">
        <f t="shared" si="4"/>
        <v>0</v>
      </c>
      <c r="G52" s="304">
        <f t="shared" si="2"/>
        <v>0</v>
      </c>
    </row>
    <row r="53" spans="1:7" x14ac:dyDescent="0.35">
      <c r="A53" s="125"/>
      <c r="B53" s="126"/>
      <c r="C53" s="126"/>
      <c r="D53" s="127"/>
      <c r="E53" s="305">
        <f t="shared" si="3"/>
        <v>0</v>
      </c>
      <c r="F53" s="306">
        <f t="shared" si="4"/>
        <v>0</v>
      </c>
      <c r="G53" s="304">
        <f t="shared" si="2"/>
        <v>0</v>
      </c>
    </row>
    <row r="54" spans="1:7" x14ac:dyDescent="0.35">
      <c r="A54" s="125"/>
      <c r="B54" s="126"/>
      <c r="C54" s="126"/>
      <c r="D54" s="127"/>
      <c r="E54" s="305">
        <f t="shared" si="3"/>
        <v>0</v>
      </c>
      <c r="F54" s="306">
        <f t="shared" si="4"/>
        <v>0</v>
      </c>
      <c r="G54" s="304">
        <f t="shared" si="2"/>
        <v>0</v>
      </c>
    </row>
    <row r="55" spans="1:7" x14ac:dyDescent="0.35">
      <c r="A55" s="125"/>
      <c r="B55" s="126"/>
      <c r="C55" s="126"/>
      <c r="D55" s="127"/>
      <c r="E55" s="305">
        <f t="shared" si="3"/>
        <v>0</v>
      </c>
      <c r="F55" s="306">
        <f t="shared" si="4"/>
        <v>0</v>
      </c>
      <c r="G55" s="304">
        <f t="shared" si="2"/>
        <v>0</v>
      </c>
    </row>
    <row r="56" spans="1:7" x14ac:dyDescent="0.35">
      <c r="A56" s="125"/>
      <c r="B56" s="126"/>
      <c r="C56" s="126"/>
      <c r="D56" s="127"/>
      <c r="E56" s="305">
        <f t="shared" si="3"/>
        <v>0</v>
      </c>
      <c r="F56" s="306">
        <f t="shared" si="4"/>
        <v>0</v>
      </c>
      <c r="G56" s="304">
        <f t="shared" si="2"/>
        <v>0</v>
      </c>
    </row>
    <row r="57" spans="1:7" x14ac:dyDescent="0.35">
      <c r="A57" s="125"/>
      <c r="B57" s="126"/>
      <c r="C57" s="126"/>
      <c r="D57" s="127"/>
      <c r="E57" s="305">
        <f t="shared" si="3"/>
        <v>0</v>
      </c>
      <c r="F57" s="306">
        <f t="shared" si="4"/>
        <v>0</v>
      </c>
      <c r="G57" s="304">
        <f t="shared" si="2"/>
        <v>0</v>
      </c>
    </row>
    <row r="58" spans="1:7" x14ac:dyDescent="0.35">
      <c r="A58" s="125"/>
      <c r="B58" s="126"/>
      <c r="C58" s="126"/>
      <c r="D58" s="127"/>
      <c r="E58" s="305">
        <f t="shared" si="3"/>
        <v>0</v>
      </c>
      <c r="F58" s="306">
        <f t="shared" si="4"/>
        <v>0</v>
      </c>
      <c r="G58" s="304">
        <f t="shared" si="2"/>
        <v>0</v>
      </c>
    </row>
    <row r="59" spans="1:7" x14ac:dyDescent="0.35">
      <c r="A59" s="125"/>
      <c r="B59" s="126"/>
      <c r="C59" s="126"/>
      <c r="D59" s="127"/>
      <c r="E59" s="305">
        <f t="shared" si="3"/>
        <v>0</v>
      </c>
      <c r="F59" s="306">
        <f t="shared" si="4"/>
        <v>0</v>
      </c>
      <c r="G59" s="304">
        <f t="shared" si="2"/>
        <v>0</v>
      </c>
    </row>
    <row r="60" spans="1:7" x14ac:dyDescent="0.35">
      <c r="A60" s="125"/>
      <c r="B60" s="126"/>
      <c r="C60" s="126"/>
      <c r="D60" s="127"/>
      <c r="E60" s="305">
        <f t="shared" ref="E60:E61" si="5">+D60*$E$7</f>
        <v>0</v>
      </c>
      <c r="F60" s="306">
        <f t="shared" ref="F60:F61" si="6">+D60*$F$7</f>
        <v>0</v>
      </c>
      <c r="G60" s="304">
        <f t="shared" ref="G60:G61" si="7">+D60*$G$7</f>
        <v>0</v>
      </c>
    </row>
    <row r="61" spans="1:7" x14ac:dyDescent="0.35">
      <c r="A61" s="125"/>
      <c r="B61" s="126"/>
      <c r="C61" s="126"/>
      <c r="D61" s="127"/>
      <c r="E61" s="305">
        <f t="shared" si="5"/>
        <v>0</v>
      </c>
      <c r="F61" s="306">
        <f t="shared" si="6"/>
        <v>0</v>
      </c>
      <c r="G61" s="304">
        <f t="shared" si="7"/>
        <v>0</v>
      </c>
    </row>
    <row r="62" spans="1:7" x14ac:dyDescent="0.35">
      <c r="A62" s="125"/>
      <c r="B62" s="126"/>
      <c r="C62" s="126"/>
      <c r="D62" s="127"/>
      <c r="E62" s="305">
        <f t="shared" si="3"/>
        <v>0</v>
      </c>
      <c r="F62" s="306">
        <f t="shared" si="4"/>
        <v>0</v>
      </c>
      <c r="G62" s="304">
        <f t="shared" si="2"/>
        <v>0</v>
      </c>
    </row>
    <row r="63" spans="1:7" x14ac:dyDescent="0.35">
      <c r="A63" s="125"/>
      <c r="B63" s="126"/>
      <c r="C63" s="126"/>
      <c r="D63" s="127"/>
      <c r="E63" s="305">
        <f t="shared" si="3"/>
        <v>0</v>
      </c>
      <c r="F63" s="306">
        <f t="shared" si="4"/>
        <v>0</v>
      </c>
      <c r="G63" s="304">
        <f t="shared" si="2"/>
        <v>0</v>
      </c>
    </row>
    <row r="64" spans="1:7" x14ac:dyDescent="0.35">
      <c r="A64" s="125"/>
      <c r="B64" s="126"/>
      <c r="C64" s="126"/>
      <c r="D64" s="127"/>
      <c r="E64" s="305">
        <f t="shared" si="3"/>
        <v>0</v>
      </c>
      <c r="F64" s="306">
        <f t="shared" si="4"/>
        <v>0</v>
      </c>
      <c r="G64" s="304">
        <f t="shared" si="2"/>
        <v>0</v>
      </c>
    </row>
    <row r="65" spans="1:10" ht="16" thickBot="1" x14ac:dyDescent="0.4">
      <c r="A65" s="128"/>
      <c r="B65" s="129"/>
      <c r="C65" s="129"/>
      <c r="D65" s="127"/>
      <c r="E65" s="307">
        <f t="shared" si="3"/>
        <v>0</v>
      </c>
      <c r="F65" s="308">
        <f t="shared" si="4"/>
        <v>0</v>
      </c>
      <c r="G65" s="304">
        <f t="shared" si="2"/>
        <v>0</v>
      </c>
    </row>
    <row r="66" spans="1:10" ht="16" thickBot="1" x14ac:dyDescent="0.4">
      <c r="A66" s="755" t="s">
        <v>105</v>
      </c>
      <c r="B66" s="756"/>
      <c r="C66" s="756"/>
      <c r="D66" s="160">
        <f>+SUM(D9:D65)</f>
        <v>0</v>
      </c>
      <c r="E66" s="160">
        <f>+SUM(E9:E65)</f>
        <v>0</v>
      </c>
      <c r="F66" s="161">
        <f>+SUM(F9:F65)</f>
        <v>0</v>
      </c>
      <c r="G66" s="161">
        <f>+SUM(G9:G65)</f>
        <v>0</v>
      </c>
      <c r="I66" s="109" t="s">
        <v>285</v>
      </c>
      <c r="J66" s="162">
        <f>D66-G66-F66-E66</f>
        <v>0</v>
      </c>
    </row>
    <row r="67" spans="1:10" ht="16" thickBot="1" x14ac:dyDescent="0.4">
      <c r="A67" s="131"/>
      <c r="B67" s="132"/>
      <c r="C67" s="132"/>
      <c r="D67" s="132"/>
      <c r="E67" s="133"/>
      <c r="F67" s="132"/>
      <c r="G67" s="134"/>
    </row>
    <row r="68" spans="1:10" ht="16" thickBot="1" x14ac:dyDescent="0.4">
      <c r="A68" s="755" t="s">
        <v>103</v>
      </c>
      <c r="B68" s="757"/>
      <c r="C68" s="757"/>
      <c r="D68" s="749"/>
      <c r="E68" s="163">
        <v>0</v>
      </c>
      <c r="F68" s="164">
        <v>1</v>
      </c>
      <c r="G68" s="163">
        <v>0</v>
      </c>
    </row>
    <row r="69" spans="1:10" ht="29.5" thickBot="1" x14ac:dyDescent="0.4">
      <c r="A69" s="758" t="s">
        <v>0</v>
      </c>
      <c r="B69" s="758" t="s">
        <v>1</v>
      </c>
      <c r="C69" s="759" t="s">
        <v>106</v>
      </c>
      <c r="D69" s="760" t="s">
        <v>108</v>
      </c>
      <c r="E69" s="761" t="s">
        <v>107</v>
      </c>
      <c r="F69" s="762" t="s">
        <v>20</v>
      </c>
      <c r="G69" s="754" t="s">
        <v>114</v>
      </c>
    </row>
    <row r="70" spans="1:10" x14ac:dyDescent="0.35">
      <c r="A70" s="126"/>
      <c r="B70" s="126"/>
      <c r="C70" s="126"/>
      <c r="D70" s="127"/>
      <c r="E70" s="309">
        <f>+D70*$E$68</f>
        <v>0</v>
      </c>
      <c r="F70" s="310">
        <f>+D70*$F$68</f>
        <v>0</v>
      </c>
      <c r="G70" s="304">
        <f>+D70*$G$68</f>
        <v>0</v>
      </c>
    </row>
    <row r="71" spans="1:10" x14ac:dyDescent="0.35">
      <c r="A71" s="126"/>
      <c r="B71" s="126"/>
      <c r="C71" s="126"/>
      <c r="D71" s="127"/>
      <c r="E71" s="309">
        <f t="shared" ref="E71:E90" si="8">+D71*$E$68</f>
        <v>0</v>
      </c>
      <c r="F71" s="310">
        <f t="shared" ref="F71:F90" si="9">+D71*$F$68</f>
        <v>0</v>
      </c>
      <c r="G71" s="304">
        <f t="shared" ref="G71:G90" si="10">+D71*$G$68</f>
        <v>0</v>
      </c>
    </row>
    <row r="72" spans="1:10" x14ac:dyDescent="0.35">
      <c r="A72" s="126"/>
      <c r="B72" s="126"/>
      <c r="C72" s="126"/>
      <c r="D72" s="127"/>
      <c r="E72" s="309">
        <f t="shared" si="8"/>
        <v>0</v>
      </c>
      <c r="F72" s="310">
        <f t="shared" si="9"/>
        <v>0</v>
      </c>
      <c r="G72" s="304">
        <f t="shared" si="10"/>
        <v>0</v>
      </c>
    </row>
    <row r="73" spans="1:10" x14ac:dyDescent="0.35">
      <c r="A73" s="126"/>
      <c r="B73" s="126"/>
      <c r="C73" s="126"/>
      <c r="D73" s="127"/>
      <c r="E73" s="309">
        <f t="shared" si="8"/>
        <v>0</v>
      </c>
      <c r="F73" s="310">
        <f t="shared" si="9"/>
        <v>0</v>
      </c>
      <c r="G73" s="304">
        <f t="shared" si="10"/>
        <v>0</v>
      </c>
    </row>
    <row r="74" spans="1:10" x14ac:dyDescent="0.35">
      <c r="A74" s="126"/>
      <c r="B74" s="126"/>
      <c r="C74" s="126"/>
      <c r="D74" s="127"/>
      <c r="E74" s="309">
        <f t="shared" si="8"/>
        <v>0</v>
      </c>
      <c r="F74" s="310">
        <f t="shared" si="9"/>
        <v>0</v>
      </c>
      <c r="G74" s="304">
        <f t="shared" si="10"/>
        <v>0</v>
      </c>
    </row>
    <row r="75" spans="1:10" x14ac:dyDescent="0.35">
      <c r="A75" s="126"/>
      <c r="B75" s="126"/>
      <c r="C75" s="126"/>
      <c r="D75" s="127"/>
      <c r="E75" s="309">
        <f t="shared" si="8"/>
        <v>0</v>
      </c>
      <c r="F75" s="310">
        <f t="shared" si="9"/>
        <v>0</v>
      </c>
      <c r="G75" s="304">
        <f t="shared" si="10"/>
        <v>0</v>
      </c>
    </row>
    <row r="76" spans="1:10" x14ac:dyDescent="0.35">
      <c r="A76" s="126"/>
      <c r="B76" s="126"/>
      <c r="C76" s="126"/>
      <c r="D76" s="127"/>
      <c r="E76" s="309">
        <f t="shared" si="8"/>
        <v>0</v>
      </c>
      <c r="F76" s="310">
        <f t="shared" si="9"/>
        <v>0</v>
      </c>
      <c r="G76" s="304">
        <f t="shared" si="10"/>
        <v>0</v>
      </c>
    </row>
    <row r="77" spans="1:10" x14ac:dyDescent="0.35">
      <c r="A77" s="126"/>
      <c r="B77" s="126"/>
      <c r="C77" s="126"/>
      <c r="D77" s="127"/>
      <c r="E77" s="309">
        <f t="shared" si="8"/>
        <v>0</v>
      </c>
      <c r="F77" s="310">
        <f t="shared" si="9"/>
        <v>0</v>
      </c>
      <c r="G77" s="304">
        <f t="shared" si="10"/>
        <v>0</v>
      </c>
    </row>
    <row r="78" spans="1:10" x14ac:dyDescent="0.35">
      <c r="A78" s="126"/>
      <c r="B78" s="126"/>
      <c r="C78" s="126"/>
      <c r="D78" s="127"/>
      <c r="E78" s="309">
        <f t="shared" si="8"/>
        <v>0</v>
      </c>
      <c r="F78" s="310">
        <f t="shared" si="9"/>
        <v>0</v>
      </c>
      <c r="G78" s="304">
        <f t="shared" si="10"/>
        <v>0</v>
      </c>
    </row>
    <row r="79" spans="1:10" x14ac:dyDescent="0.35">
      <c r="A79" s="126"/>
      <c r="B79" s="126"/>
      <c r="C79" s="126"/>
      <c r="D79" s="127"/>
      <c r="E79" s="309">
        <f t="shared" si="8"/>
        <v>0</v>
      </c>
      <c r="F79" s="310">
        <f t="shared" si="9"/>
        <v>0</v>
      </c>
      <c r="G79" s="304">
        <f t="shared" si="10"/>
        <v>0</v>
      </c>
    </row>
    <row r="80" spans="1:10" x14ac:dyDescent="0.35">
      <c r="A80" s="126"/>
      <c r="B80" s="126"/>
      <c r="C80" s="126"/>
      <c r="D80" s="127"/>
      <c r="E80" s="309">
        <f t="shared" si="8"/>
        <v>0</v>
      </c>
      <c r="F80" s="310">
        <f t="shared" si="9"/>
        <v>0</v>
      </c>
      <c r="G80" s="304">
        <f t="shared" si="10"/>
        <v>0</v>
      </c>
    </row>
    <row r="81" spans="1:10" x14ac:dyDescent="0.35">
      <c r="A81" s="126"/>
      <c r="B81" s="126"/>
      <c r="C81" s="126"/>
      <c r="D81" s="127"/>
      <c r="E81" s="309">
        <f t="shared" si="8"/>
        <v>0</v>
      </c>
      <c r="F81" s="310">
        <f t="shared" si="9"/>
        <v>0</v>
      </c>
      <c r="G81" s="304">
        <f t="shared" si="10"/>
        <v>0</v>
      </c>
    </row>
    <row r="82" spans="1:10" x14ac:dyDescent="0.35">
      <c r="A82" s="126"/>
      <c r="B82" s="126"/>
      <c r="C82" s="126"/>
      <c r="D82" s="127"/>
      <c r="E82" s="309">
        <f t="shared" si="8"/>
        <v>0</v>
      </c>
      <c r="F82" s="310">
        <f t="shared" si="9"/>
        <v>0</v>
      </c>
      <c r="G82" s="304">
        <f t="shared" si="10"/>
        <v>0</v>
      </c>
    </row>
    <row r="83" spans="1:10" x14ac:dyDescent="0.35">
      <c r="A83" s="126"/>
      <c r="B83" s="126"/>
      <c r="C83" s="126"/>
      <c r="D83" s="127"/>
      <c r="E83" s="309">
        <f t="shared" si="8"/>
        <v>0</v>
      </c>
      <c r="F83" s="310">
        <f t="shared" si="9"/>
        <v>0</v>
      </c>
      <c r="G83" s="304">
        <f t="shared" si="10"/>
        <v>0</v>
      </c>
    </row>
    <row r="84" spans="1:10" x14ac:dyDescent="0.35">
      <c r="A84" s="126"/>
      <c r="B84" s="126"/>
      <c r="C84" s="126"/>
      <c r="D84" s="127"/>
      <c r="E84" s="309">
        <f t="shared" si="8"/>
        <v>0</v>
      </c>
      <c r="F84" s="310">
        <f t="shared" si="9"/>
        <v>0</v>
      </c>
      <c r="G84" s="304">
        <f t="shared" si="10"/>
        <v>0</v>
      </c>
    </row>
    <row r="85" spans="1:10" x14ac:dyDescent="0.35">
      <c r="A85" s="126"/>
      <c r="B85" s="126"/>
      <c r="C85" s="126"/>
      <c r="D85" s="127"/>
      <c r="E85" s="309">
        <f t="shared" si="8"/>
        <v>0</v>
      </c>
      <c r="F85" s="310">
        <f t="shared" si="9"/>
        <v>0</v>
      </c>
      <c r="G85" s="304">
        <f t="shared" si="10"/>
        <v>0</v>
      </c>
    </row>
    <row r="86" spans="1:10" x14ac:dyDescent="0.35">
      <c r="A86" s="126"/>
      <c r="B86" s="126"/>
      <c r="C86" s="126"/>
      <c r="D86" s="127"/>
      <c r="E86" s="309">
        <f t="shared" si="8"/>
        <v>0</v>
      </c>
      <c r="F86" s="310">
        <f t="shared" si="9"/>
        <v>0</v>
      </c>
      <c r="G86" s="304">
        <f t="shared" si="10"/>
        <v>0</v>
      </c>
    </row>
    <row r="87" spans="1:10" x14ac:dyDescent="0.35">
      <c r="A87" s="126"/>
      <c r="B87" s="126"/>
      <c r="C87" s="126"/>
      <c r="D87" s="127"/>
      <c r="E87" s="309">
        <f t="shared" si="8"/>
        <v>0</v>
      </c>
      <c r="F87" s="310">
        <f t="shared" si="9"/>
        <v>0</v>
      </c>
      <c r="G87" s="304">
        <f t="shared" si="10"/>
        <v>0</v>
      </c>
    </row>
    <row r="88" spans="1:10" x14ac:dyDescent="0.35">
      <c r="A88" s="126"/>
      <c r="B88" s="126"/>
      <c r="C88" s="126"/>
      <c r="D88" s="127"/>
      <c r="E88" s="309">
        <f t="shared" si="8"/>
        <v>0</v>
      </c>
      <c r="F88" s="310">
        <f t="shared" si="9"/>
        <v>0</v>
      </c>
      <c r="G88" s="304">
        <f t="shared" si="10"/>
        <v>0</v>
      </c>
    </row>
    <row r="89" spans="1:10" ht="15.5" x14ac:dyDescent="0.35">
      <c r="A89" s="135"/>
      <c r="B89" s="136"/>
      <c r="C89" s="136"/>
      <c r="D89" s="127"/>
      <c r="E89" s="309">
        <f t="shared" si="8"/>
        <v>0</v>
      </c>
      <c r="F89" s="310">
        <f t="shared" si="9"/>
        <v>0</v>
      </c>
      <c r="G89" s="304">
        <f t="shared" si="10"/>
        <v>0</v>
      </c>
    </row>
    <row r="90" spans="1:10" ht="16" thickBot="1" x14ac:dyDescent="0.4">
      <c r="A90" s="135"/>
      <c r="B90" s="136"/>
      <c r="C90" s="136"/>
      <c r="D90" s="127"/>
      <c r="E90" s="309">
        <f t="shared" si="8"/>
        <v>0</v>
      </c>
      <c r="F90" s="310">
        <f t="shared" si="9"/>
        <v>0</v>
      </c>
      <c r="G90" s="304">
        <f t="shared" si="10"/>
        <v>0</v>
      </c>
    </row>
    <row r="91" spans="1:10" ht="16" thickBot="1" x14ac:dyDescent="0.4">
      <c r="A91" s="755" t="s">
        <v>109</v>
      </c>
      <c r="B91" s="756"/>
      <c r="C91" s="756"/>
      <c r="D91" s="160">
        <f>+SUM(D70:D90)</f>
        <v>0</v>
      </c>
      <c r="E91" s="161">
        <f>+SUM(E70:E90)</f>
        <v>0</v>
      </c>
      <c r="F91" s="160">
        <f>+SUM(F70:F90)</f>
        <v>0</v>
      </c>
      <c r="G91" s="161">
        <f>+SUM(G70:G90)</f>
        <v>0</v>
      </c>
      <c r="I91" s="109" t="s">
        <v>285</v>
      </c>
      <c r="J91" s="162">
        <f>D91-G91-F91-E91</f>
        <v>0</v>
      </c>
    </row>
    <row r="92" spans="1:10" ht="16" thickBot="1" x14ac:dyDescent="0.4">
      <c r="A92" s="131"/>
      <c r="B92" s="132"/>
      <c r="C92" s="132"/>
      <c r="D92" s="132"/>
      <c r="E92" s="133"/>
      <c r="F92" s="132"/>
      <c r="G92" s="134"/>
    </row>
    <row r="93" spans="1:10" ht="16" thickBot="1" x14ac:dyDescent="0.4">
      <c r="A93" s="755" t="s">
        <v>104</v>
      </c>
      <c r="B93" s="757"/>
      <c r="C93" s="757"/>
      <c r="D93" s="757"/>
      <c r="E93" s="163">
        <v>0</v>
      </c>
      <c r="F93" s="163">
        <v>0</v>
      </c>
      <c r="G93" s="164">
        <v>1</v>
      </c>
    </row>
    <row r="94" spans="1:10" ht="29.5" thickBot="1" x14ac:dyDescent="0.4">
      <c r="A94" s="758" t="s">
        <v>0</v>
      </c>
      <c r="B94" s="758" t="s">
        <v>1</v>
      </c>
      <c r="C94" s="759" t="s">
        <v>106</v>
      </c>
      <c r="D94" s="760" t="s">
        <v>108</v>
      </c>
      <c r="E94" s="761" t="s">
        <v>107</v>
      </c>
      <c r="F94" s="761" t="s">
        <v>20</v>
      </c>
      <c r="G94" s="762" t="s">
        <v>114</v>
      </c>
    </row>
    <row r="95" spans="1:10" x14ac:dyDescent="0.35">
      <c r="A95" s="126"/>
      <c r="B95" s="136"/>
      <c r="C95" s="136"/>
      <c r="D95" s="127"/>
      <c r="E95" s="309">
        <f>+D95*$E$93</f>
        <v>0</v>
      </c>
      <c r="F95" s="304">
        <f>+D95*$F$93</f>
        <v>0</v>
      </c>
      <c r="G95" s="310">
        <f>+D95*$G$93</f>
        <v>0</v>
      </c>
    </row>
    <row r="96" spans="1:10" x14ac:dyDescent="0.35">
      <c r="A96" s="126"/>
      <c r="B96" s="136"/>
      <c r="C96" s="136"/>
      <c r="D96" s="127"/>
      <c r="E96" s="309">
        <f t="shared" ref="E96:E106" si="11">+D96*$E$93</f>
        <v>0</v>
      </c>
      <c r="F96" s="304">
        <f t="shared" ref="F96:F106" si="12">+D96*$F$93</f>
        <v>0</v>
      </c>
      <c r="G96" s="310">
        <f t="shared" ref="G96:G106" si="13">+D96*$G$93</f>
        <v>0</v>
      </c>
    </row>
    <row r="97" spans="1:11" x14ac:dyDescent="0.35">
      <c r="A97" s="126"/>
      <c r="B97" s="136"/>
      <c r="C97" s="136"/>
      <c r="D97" s="127"/>
      <c r="E97" s="309">
        <f t="shared" si="11"/>
        <v>0</v>
      </c>
      <c r="F97" s="304">
        <f t="shared" si="12"/>
        <v>0</v>
      </c>
      <c r="G97" s="310">
        <f t="shared" si="13"/>
        <v>0</v>
      </c>
    </row>
    <row r="98" spans="1:11" x14ac:dyDescent="0.35">
      <c r="A98" s="126"/>
      <c r="B98" s="136"/>
      <c r="C98" s="136"/>
      <c r="D98" s="127"/>
      <c r="E98" s="309">
        <f t="shared" si="11"/>
        <v>0</v>
      </c>
      <c r="F98" s="304">
        <f t="shared" si="12"/>
        <v>0</v>
      </c>
      <c r="G98" s="310">
        <f t="shared" si="13"/>
        <v>0</v>
      </c>
    </row>
    <row r="99" spans="1:11" x14ac:dyDescent="0.35">
      <c r="A99" s="126"/>
      <c r="B99" s="136"/>
      <c r="C99" s="136"/>
      <c r="D99" s="127"/>
      <c r="E99" s="311">
        <f t="shared" si="11"/>
        <v>0</v>
      </c>
      <c r="F99" s="174">
        <f t="shared" si="12"/>
        <v>0</v>
      </c>
      <c r="G99" s="174">
        <f t="shared" si="13"/>
        <v>0</v>
      </c>
      <c r="H99" s="137"/>
      <c r="I99" s="137"/>
      <c r="J99" s="137"/>
      <c r="K99" s="137"/>
    </row>
    <row r="100" spans="1:11" x14ac:dyDescent="0.35">
      <c r="A100" s="126"/>
      <c r="B100" s="136"/>
      <c r="C100" s="136"/>
      <c r="D100" s="127"/>
      <c r="E100" s="311">
        <f t="shared" si="11"/>
        <v>0</v>
      </c>
      <c r="F100" s="174">
        <f t="shared" si="12"/>
        <v>0</v>
      </c>
      <c r="G100" s="174">
        <f t="shared" si="13"/>
        <v>0</v>
      </c>
      <c r="H100" s="137"/>
      <c r="I100" s="137"/>
      <c r="J100" s="137"/>
      <c r="K100" s="137"/>
    </row>
    <row r="101" spans="1:11" x14ac:dyDescent="0.35">
      <c r="A101" s="138"/>
      <c r="B101" s="139"/>
      <c r="C101" s="139"/>
      <c r="D101" s="140"/>
      <c r="E101" s="311">
        <f t="shared" si="11"/>
        <v>0</v>
      </c>
      <c r="F101" s="174">
        <f t="shared" si="12"/>
        <v>0</v>
      </c>
      <c r="G101" s="174">
        <f t="shared" si="13"/>
        <v>0</v>
      </c>
      <c r="H101" s="137"/>
      <c r="I101" s="137"/>
      <c r="J101" s="137"/>
      <c r="K101" s="137"/>
    </row>
    <row r="102" spans="1:11" x14ac:dyDescent="0.35">
      <c r="A102" s="138"/>
      <c r="B102" s="139"/>
      <c r="C102" s="139"/>
      <c r="D102" s="140"/>
      <c r="E102" s="311">
        <f t="shared" si="11"/>
        <v>0</v>
      </c>
      <c r="F102" s="174">
        <f t="shared" si="12"/>
        <v>0</v>
      </c>
      <c r="G102" s="174">
        <f t="shared" si="13"/>
        <v>0</v>
      </c>
      <c r="H102" s="137"/>
      <c r="I102" s="137"/>
      <c r="J102" s="137"/>
      <c r="K102" s="137"/>
    </row>
    <row r="103" spans="1:11" x14ac:dyDescent="0.35">
      <c r="A103" s="138"/>
      <c r="B103" s="139"/>
      <c r="C103" s="139"/>
      <c r="D103" s="140"/>
      <c r="E103" s="311">
        <f t="shared" si="11"/>
        <v>0</v>
      </c>
      <c r="F103" s="174">
        <f t="shared" si="12"/>
        <v>0</v>
      </c>
      <c r="G103" s="174">
        <f t="shared" si="13"/>
        <v>0</v>
      </c>
      <c r="H103" s="137"/>
      <c r="I103" s="137"/>
      <c r="J103" s="137"/>
      <c r="K103" s="137"/>
    </row>
    <row r="104" spans="1:11" x14ac:dyDescent="0.35">
      <c r="A104" s="138"/>
      <c r="B104" s="139"/>
      <c r="C104" s="139"/>
      <c r="D104" s="140"/>
      <c r="E104" s="311">
        <f t="shared" si="11"/>
        <v>0</v>
      </c>
      <c r="F104" s="174">
        <f t="shared" si="12"/>
        <v>0</v>
      </c>
      <c r="G104" s="174">
        <f t="shared" si="13"/>
        <v>0</v>
      </c>
      <c r="H104" s="137"/>
      <c r="I104" s="137"/>
      <c r="J104" s="137"/>
      <c r="K104" s="137"/>
    </row>
    <row r="105" spans="1:11" x14ac:dyDescent="0.35">
      <c r="A105" s="139"/>
      <c r="B105" s="139"/>
      <c r="C105" s="139"/>
      <c r="D105" s="140"/>
      <c r="E105" s="311">
        <f t="shared" si="11"/>
        <v>0</v>
      </c>
      <c r="F105" s="174">
        <f t="shared" si="12"/>
        <v>0</v>
      </c>
      <c r="G105" s="174">
        <f t="shared" si="13"/>
        <v>0</v>
      </c>
      <c r="H105" s="137"/>
      <c r="I105" s="137"/>
      <c r="J105" s="137"/>
      <c r="K105" s="137"/>
    </row>
    <row r="106" spans="1:11" ht="15" thickBot="1" x14ac:dyDescent="0.4">
      <c r="A106" s="141"/>
      <c r="B106" s="142"/>
      <c r="C106" s="142"/>
      <c r="D106" s="143"/>
      <c r="E106" s="312">
        <f t="shared" si="11"/>
        <v>0</v>
      </c>
      <c r="F106" s="313">
        <f t="shared" si="12"/>
        <v>0</v>
      </c>
      <c r="G106" s="313">
        <f t="shared" si="13"/>
        <v>0</v>
      </c>
      <c r="H106" s="137"/>
      <c r="I106" s="137"/>
      <c r="J106" s="137"/>
      <c r="K106" s="137"/>
    </row>
    <row r="107" spans="1:11" ht="16" thickBot="1" x14ac:dyDescent="0.4">
      <c r="A107" s="763" t="s">
        <v>52</v>
      </c>
      <c r="B107" s="764"/>
      <c r="C107" s="764"/>
      <c r="D107" s="165">
        <f>+SUM(D95:D106)</f>
        <v>0</v>
      </c>
      <c r="E107" s="165">
        <f>+SUM(E95:E106)</f>
        <v>0</v>
      </c>
      <c r="F107" s="165">
        <f>+SUM(F95:F106)</f>
        <v>0</v>
      </c>
      <c r="G107" s="165">
        <f>+SUM(G95:G106)</f>
        <v>0</v>
      </c>
      <c r="H107" s="137"/>
      <c r="I107" s="109" t="s">
        <v>285</v>
      </c>
      <c r="J107" s="162">
        <f>D107-G107-F107-E107</f>
        <v>0</v>
      </c>
      <c r="K107" s="137"/>
    </row>
    <row r="108" spans="1:11" ht="16" thickBot="1" x14ac:dyDescent="0.4">
      <c r="A108" s="145"/>
      <c r="B108" s="146"/>
      <c r="C108" s="146"/>
      <c r="D108" s="146"/>
      <c r="E108" s="147"/>
      <c r="F108" s="146"/>
      <c r="G108" s="148"/>
      <c r="H108" s="137"/>
      <c r="I108" s="137"/>
      <c r="J108" s="137"/>
      <c r="K108" s="137"/>
    </row>
    <row r="109" spans="1:11" ht="46.5" customHeight="1" x14ac:dyDescent="0.35">
      <c r="A109" s="1064" t="s">
        <v>220</v>
      </c>
      <c r="B109" s="1065"/>
      <c r="C109" s="1065"/>
      <c r="D109" s="1066"/>
      <c r="E109" s="166" t="e">
        <f>+E154</f>
        <v>#DIV/0!</v>
      </c>
      <c r="F109" s="166" t="e">
        <f>+E155</f>
        <v>#DIV/0!</v>
      </c>
      <c r="G109" s="166" t="e">
        <f>+E156</f>
        <v>#DIV/0!</v>
      </c>
      <c r="H109" s="137"/>
      <c r="I109" s="137"/>
      <c r="J109" s="137"/>
      <c r="K109" s="137"/>
    </row>
    <row r="110" spans="1:11" ht="30.75" customHeight="1" thickBot="1" x14ac:dyDescent="0.4">
      <c r="A110" s="1067" t="s">
        <v>213</v>
      </c>
      <c r="B110" s="1068"/>
      <c r="C110" s="1068"/>
      <c r="D110" s="1068"/>
      <c r="E110" s="1068"/>
      <c r="F110" s="1068"/>
      <c r="G110" s="1069"/>
      <c r="H110" s="137"/>
      <c r="I110" s="137"/>
      <c r="J110" s="137"/>
      <c r="K110" s="137"/>
    </row>
    <row r="111" spans="1:11" ht="29.5" thickBot="1" x14ac:dyDescent="0.4">
      <c r="A111" s="765" t="s">
        <v>0</v>
      </c>
      <c r="B111" s="765" t="s">
        <v>1</v>
      </c>
      <c r="C111" s="766" t="s">
        <v>106</v>
      </c>
      <c r="D111" s="767" t="s">
        <v>108</v>
      </c>
      <c r="E111" s="762" t="s">
        <v>107</v>
      </c>
      <c r="F111" s="762" t="s">
        <v>20</v>
      </c>
      <c r="G111" s="762" t="s">
        <v>114</v>
      </c>
      <c r="H111" s="137"/>
      <c r="I111" s="137"/>
      <c r="J111" s="137"/>
      <c r="K111" s="137"/>
    </row>
    <row r="112" spans="1:11" x14ac:dyDescent="0.35">
      <c r="A112" s="149"/>
      <c r="B112" s="150"/>
      <c r="C112" s="150"/>
      <c r="D112" s="140"/>
      <c r="E112" s="311" t="e">
        <f>+D112*$E$109</f>
        <v>#DIV/0!</v>
      </c>
      <c r="F112" s="174" t="e">
        <f>+D112*$F$109</f>
        <v>#DIV/0!</v>
      </c>
      <c r="G112" s="174" t="e">
        <f>+D112*$G$109</f>
        <v>#DIV/0!</v>
      </c>
      <c r="H112" s="137"/>
      <c r="I112" s="137"/>
      <c r="J112" s="137"/>
      <c r="K112" s="137"/>
    </row>
    <row r="113" spans="1:11" x14ac:dyDescent="0.35">
      <c r="A113" s="149"/>
      <c r="B113" s="150"/>
      <c r="C113" s="150"/>
      <c r="D113" s="140"/>
      <c r="E113" s="311" t="e">
        <f t="shared" ref="E113:E126" si="14">+D113*$E$109</f>
        <v>#DIV/0!</v>
      </c>
      <c r="F113" s="174" t="e">
        <f t="shared" ref="F113:F126" si="15">+D113*$F$109</f>
        <v>#DIV/0!</v>
      </c>
      <c r="G113" s="174" t="e">
        <f t="shared" ref="G113:G126" si="16">+D113*$G$109</f>
        <v>#DIV/0!</v>
      </c>
      <c r="H113" s="137"/>
      <c r="I113" s="137"/>
      <c r="J113" s="137"/>
      <c r="K113" s="137"/>
    </row>
    <row r="114" spans="1:11" x14ac:dyDescent="0.35">
      <c r="A114" s="149"/>
      <c r="B114" s="150"/>
      <c r="C114" s="150"/>
      <c r="D114" s="140"/>
      <c r="E114" s="311" t="e">
        <f t="shared" si="14"/>
        <v>#DIV/0!</v>
      </c>
      <c r="F114" s="174" t="e">
        <f t="shared" si="15"/>
        <v>#DIV/0!</v>
      </c>
      <c r="G114" s="174" t="e">
        <f t="shared" si="16"/>
        <v>#DIV/0!</v>
      </c>
      <c r="H114" s="137"/>
      <c r="I114" s="137"/>
      <c r="J114" s="137"/>
      <c r="K114" s="137"/>
    </row>
    <row r="115" spans="1:11" x14ac:dyDescent="0.35">
      <c r="A115" s="149"/>
      <c r="B115" s="150"/>
      <c r="C115" s="150"/>
      <c r="D115" s="140"/>
      <c r="E115" s="311" t="e">
        <f t="shared" si="14"/>
        <v>#DIV/0!</v>
      </c>
      <c r="F115" s="174" t="e">
        <f t="shared" si="15"/>
        <v>#DIV/0!</v>
      </c>
      <c r="G115" s="174" t="e">
        <f t="shared" si="16"/>
        <v>#DIV/0!</v>
      </c>
      <c r="H115" s="137"/>
      <c r="I115" s="137"/>
      <c r="J115" s="137"/>
      <c r="K115" s="137"/>
    </row>
    <row r="116" spans="1:11" x14ac:dyDescent="0.35">
      <c r="A116" s="149"/>
      <c r="B116" s="150"/>
      <c r="C116" s="150"/>
      <c r="D116" s="140"/>
      <c r="E116" s="311" t="e">
        <f t="shared" si="14"/>
        <v>#DIV/0!</v>
      </c>
      <c r="F116" s="174" t="e">
        <f t="shared" si="15"/>
        <v>#DIV/0!</v>
      </c>
      <c r="G116" s="174" t="e">
        <f t="shared" si="16"/>
        <v>#DIV/0!</v>
      </c>
      <c r="H116" s="137"/>
      <c r="I116" s="137"/>
      <c r="J116" s="137"/>
      <c r="K116" s="137"/>
    </row>
    <row r="117" spans="1:11" x14ac:dyDescent="0.35">
      <c r="A117" s="149"/>
      <c r="B117" s="150"/>
      <c r="C117" s="150"/>
      <c r="D117" s="140"/>
      <c r="E117" s="311" t="e">
        <f t="shared" si="14"/>
        <v>#DIV/0!</v>
      </c>
      <c r="F117" s="174" t="e">
        <f t="shared" si="15"/>
        <v>#DIV/0!</v>
      </c>
      <c r="G117" s="174" t="e">
        <f t="shared" si="16"/>
        <v>#DIV/0!</v>
      </c>
      <c r="H117" s="137"/>
      <c r="I117" s="137"/>
      <c r="J117" s="137"/>
      <c r="K117" s="137"/>
    </row>
    <row r="118" spans="1:11" x14ac:dyDescent="0.35">
      <c r="A118" s="149"/>
      <c r="B118" s="150"/>
      <c r="C118" s="150"/>
      <c r="D118" s="140"/>
      <c r="E118" s="311" t="e">
        <f t="shared" si="14"/>
        <v>#DIV/0!</v>
      </c>
      <c r="F118" s="174" t="e">
        <f t="shared" si="15"/>
        <v>#DIV/0!</v>
      </c>
      <c r="G118" s="174" t="e">
        <f t="shared" si="16"/>
        <v>#DIV/0!</v>
      </c>
      <c r="H118" s="137"/>
      <c r="I118" s="137"/>
      <c r="J118" s="137"/>
      <c r="K118" s="137"/>
    </row>
    <row r="119" spans="1:11" x14ac:dyDescent="0.35">
      <c r="A119" s="149"/>
      <c r="B119" s="150"/>
      <c r="C119" s="150"/>
      <c r="D119" s="140"/>
      <c r="E119" s="311" t="e">
        <f t="shared" si="14"/>
        <v>#DIV/0!</v>
      </c>
      <c r="F119" s="174" t="e">
        <f t="shared" si="15"/>
        <v>#DIV/0!</v>
      </c>
      <c r="G119" s="174" t="e">
        <f t="shared" si="16"/>
        <v>#DIV/0!</v>
      </c>
      <c r="H119" s="137"/>
      <c r="I119" s="137"/>
      <c r="J119" s="137"/>
      <c r="K119" s="137"/>
    </row>
    <row r="120" spans="1:11" x14ac:dyDescent="0.35">
      <c r="A120" s="149"/>
      <c r="B120" s="150"/>
      <c r="C120" s="150"/>
      <c r="D120" s="140"/>
      <c r="E120" s="311" t="e">
        <f t="shared" si="14"/>
        <v>#DIV/0!</v>
      </c>
      <c r="F120" s="174" t="e">
        <f t="shared" si="15"/>
        <v>#DIV/0!</v>
      </c>
      <c r="G120" s="174" t="e">
        <f t="shared" si="16"/>
        <v>#DIV/0!</v>
      </c>
      <c r="H120" s="137"/>
      <c r="I120" s="137"/>
      <c r="J120" s="137"/>
      <c r="K120" s="137"/>
    </row>
    <row r="121" spans="1:11" x14ac:dyDescent="0.35">
      <c r="A121" s="149"/>
      <c r="B121" s="150"/>
      <c r="C121" s="150"/>
      <c r="D121" s="140"/>
      <c r="E121" s="311" t="e">
        <f t="shared" si="14"/>
        <v>#DIV/0!</v>
      </c>
      <c r="F121" s="174" t="e">
        <f t="shared" si="15"/>
        <v>#DIV/0!</v>
      </c>
      <c r="G121" s="174" t="e">
        <f t="shared" si="16"/>
        <v>#DIV/0!</v>
      </c>
      <c r="H121" s="137"/>
      <c r="I121" s="137"/>
      <c r="J121" s="137"/>
      <c r="K121" s="137"/>
    </row>
    <row r="122" spans="1:11" x14ac:dyDescent="0.35">
      <c r="A122" s="149"/>
      <c r="B122" s="150"/>
      <c r="C122" s="150"/>
      <c r="D122" s="140"/>
      <c r="E122" s="311" t="e">
        <f t="shared" si="14"/>
        <v>#DIV/0!</v>
      </c>
      <c r="F122" s="174" t="e">
        <f t="shared" si="15"/>
        <v>#DIV/0!</v>
      </c>
      <c r="G122" s="174" t="e">
        <f t="shared" si="16"/>
        <v>#DIV/0!</v>
      </c>
      <c r="H122" s="137"/>
      <c r="I122" s="137"/>
      <c r="J122" s="137"/>
      <c r="K122" s="137"/>
    </row>
    <row r="123" spans="1:11" x14ac:dyDescent="0.35">
      <c r="A123" s="149"/>
      <c r="B123" s="150"/>
      <c r="C123" s="150"/>
      <c r="D123" s="140"/>
      <c r="E123" s="311" t="e">
        <f t="shared" si="14"/>
        <v>#DIV/0!</v>
      </c>
      <c r="F123" s="174" t="e">
        <f t="shared" si="15"/>
        <v>#DIV/0!</v>
      </c>
      <c r="G123" s="174" t="e">
        <f t="shared" si="16"/>
        <v>#DIV/0!</v>
      </c>
      <c r="H123" s="137"/>
      <c r="I123" s="137"/>
      <c r="J123" s="137"/>
      <c r="K123" s="137"/>
    </row>
    <row r="124" spans="1:11" x14ac:dyDescent="0.35">
      <c r="A124" s="151"/>
      <c r="B124" s="139"/>
      <c r="C124" s="139"/>
      <c r="D124" s="140"/>
      <c r="E124" s="311" t="e">
        <f t="shared" si="14"/>
        <v>#DIV/0!</v>
      </c>
      <c r="F124" s="174" t="e">
        <f t="shared" si="15"/>
        <v>#DIV/0!</v>
      </c>
      <c r="G124" s="174" t="e">
        <f t="shared" si="16"/>
        <v>#DIV/0!</v>
      </c>
      <c r="H124" s="137"/>
      <c r="I124" s="137"/>
      <c r="J124" s="137"/>
      <c r="K124" s="137"/>
    </row>
    <row r="125" spans="1:11" ht="15.5" x14ac:dyDescent="0.35">
      <c r="A125" s="152"/>
      <c r="B125" s="139"/>
      <c r="C125" s="139"/>
      <c r="D125" s="140"/>
      <c r="E125" s="311" t="e">
        <f t="shared" si="14"/>
        <v>#DIV/0!</v>
      </c>
      <c r="F125" s="174" t="e">
        <f t="shared" si="15"/>
        <v>#DIV/0!</v>
      </c>
      <c r="G125" s="174" t="e">
        <f t="shared" si="16"/>
        <v>#DIV/0!</v>
      </c>
      <c r="H125" s="137"/>
      <c r="I125" s="137"/>
      <c r="J125" s="137"/>
      <c r="K125" s="137"/>
    </row>
    <row r="126" spans="1:11" ht="16" thickBot="1" x14ac:dyDescent="0.4">
      <c r="A126" s="152"/>
      <c r="B126" s="139"/>
      <c r="C126" s="139"/>
      <c r="D126" s="140"/>
      <c r="E126" s="311" t="e">
        <f t="shared" si="14"/>
        <v>#DIV/0!</v>
      </c>
      <c r="F126" s="174" t="e">
        <f t="shared" si="15"/>
        <v>#DIV/0!</v>
      </c>
      <c r="G126" s="174" t="e">
        <f t="shared" si="16"/>
        <v>#DIV/0!</v>
      </c>
      <c r="H126" s="137"/>
      <c r="I126" s="137"/>
      <c r="J126" s="137"/>
      <c r="K126" s="137"/>
    </row>
    <row r="127" spans="1:11" ht="16" thickBot="1" x14ac:dyDescent="0.4">
      <c r="A127" s="768" t="s">
        <v>214</v>
      </c>
      <c r="B127" s="769"/>
      <c r="C127" s="769"/>
      <c r="D127" s="167">
        <f>+SUM(D112:D126)</f>
        <v>0</v>
      </c>
      <c r="E127" s="167" t="e">
        <f>+SUM(E112:E126)</f>
        <v>#DIV/0!</v>
      </c>
      <c r="F127" s="167" t="e">
        <f>+SUM(F112:F126)</f>
        <v>#DIV/0!</v>
      </c>
      <c r="G127" s="167" t="e">
        <f>+SUM(G112:G126)</f>
        <v>#DIV/0!</v>
      </c>
      <c r="H127" s="137"/>
      <c r="I127" s="109" t="s">
        <v>285</v>
      </c>
      <c r="J127" s="162" t="e">
        <f>D127-G127-F127-E127</f>
        <v>#DIV/0!</v>
      </c>
      <c r="K127" s="137"/>
    </row>
    <row r="128" spans="1:11" ht="16" thickBot="1" x14ac:dyDescent="0.4">
      <c r="A128" s="145"/>
      <c r="B128" s="146"/>
      <c r="C128" s="146"/>
      <c r="D128" s="146"/>
      <c r="E128" s="147"/>
      <c r="F128" s="146"/>
      <c r="G128" s="148"/>
      <c r="H128" s="137"/>
      <c r="I128" s="137"/>
      <c r="J128" s="137"/>
      <c r="K128" s="137"/>
    </row>
    <row r="129" spans="1:11" ht="47.25" customHeight="1" x14ac:dyDescent="0.35">
      <c r="A129" s="1064" t="s">
        <v>221</v>
      </c>
      <c r="B129" s="1065"/>
      <c r="C129" s="1065"/>
      <c r="D129" s="1066"/>
      <c r="E129" s="166" t="e">
        <f>+E174</f>
        <v>#DIV/0!</v>
      </c>
      <c r="F129" s="166" t="e">
        <f>+E175</f>
        <v>#DIV/0!</v>
      </c>
      <c r="G129" s="168">
        <v>0</v>
      </c>
      <c r="H129" s="137"/>
      <c r="I129" s="137"/>
      <c r="J129" s="137"/>
      <c r="K129" s="137"/>
    </row>
    <row r="130" spans="1:11" ht="30.75" customHeight="1" thickBot="1" x14ac:dyDescent="0.4">
      <c r="A130" s="1067" t="s">
        <v>215</v>
      </c>
      <c r="B130" s="1068"/>
      <c r="C130" s="1068"/>
      <c r="D130" s="1068"/>
      <c r="E130" s="1068"/>
      <c r="F130" s="1068"/>
      <c r="G130" s="1069"/>
      <c r="H130" s="137"/>
      <c r="I130" s="137"/>
      <c r="J130" s="137"/>
      <c r="K130" s="137"/>
    </row>
    <row r="131" spans="1:11" ht="29.5" thickBot="1" x14ac:dyDescent="0.4">
      <c r="A131" s="765" t="s">
        <v>0</v>
      </c>
      <c r="B131" s="765" t="s">
        <v>1</v>
      </c>
      <c r="C131" s="766" t="s">
        <v>106</v>
      </c>
      <c r="D131" s="767" t="s">
        <v>108</v>
      </c>
      <c r="E131" s="762" t="s">
        <v>107</v>
      </c>
      <c r="F131" s="762" t="s">
        <v>20</v>
      </c>
      <c r="G131" s="761" t="s">
        <v>114</v>
      </c>
      <c r="H131" s="137"/>
      <c r="I131" s="137"/>
      <c r="J131" s="137"/>
      <c r="K131" s="137"/>
    </row>
    <row r="132" spans="1:11" x14ac:dyDescent="0.35">
      <c r="A132" s="151"/>
      <c r="B132" s="139"/>
      <c r="C132" s="139"/>
      <c r="D132" s="140"/>
      <c r="E132" s="311" t="e">
        <f t="shared" ref="E132:E139" si="17">+D132*$E$129</f>
        <v>#DIV/0!</v>
      </c>
      <c r="F132" s="174" t="e">
        <f t="shared" ref="F132:F139" si="18">+D132*$F$129</f>
        <v>#DIV/0!</v>
      </c>
      <c r="G132" s="304">
        <f t="shared" ref="G132:G139" si="19">+D132*$G$129</f>
        <v>0</v>
      </c>
      <c r="H132" s="137"/>
      <c r="I132" s="137"/>
      <c r="J132" s="137"/>
      <c r="K132" s="137"/>
    </row>
    <row r="133" spans="1:11" x14ac:dyDescent="0.35">
      <c r="A133" s="151"/>
      <c r="B133" s="139"/>
      <c r="C133" s="139"/>
      <c r="D133" s="140"/>
      <c r="E133" s="311" t="e">
        <f t="shared" si="17"/>
        <v>#DIV/0!</v>
      </c>
      <c r="F133" s="174" t="e">
        <f t="shared" si="18"/>
        <v>#DIV/0!</v>
      </c>
      <c r="G133" s="304">
        <f t="shared" si="19"/>
        <v>0</v>
      </c>
      <c r="H133" s="137"/>
      <c r="I133" s="137"/>
      <c r="J133" s="137"/>
      <c r="K133" s="137"/>
    </row>
    <row r="134" spans="1:11" x14ac:dyDescent="0.35">
      <c r="A134" s="151"/>
      <c r="B134" s="139"/>
      <c r="C134" s="139"/>
      <c r="D134" s="140"/>
      <c r="E134" s="311" t="e">
        <f t="shared" si="17"/>
        <v>#DIV/0!</v>
      </c>
      <c r="F134" s="174" t="e">
        <f t="shared" si="18"/>
        <v>#DIV/0!</v>
      </c>
      <c r="G134" s="304">
        <f t="shared" si="19"/>
        <v>0</v>
      </c>
      <c r="H134" s="137"/>
      <c r="I134" s="137"/>
      <c r="J134" s="137"/>
      <c r="K134" s="137"/>
    </row>
    <row r="135" spans="1:11" x14ac:dyDescent="0.35">
      <c r="A135" s="151"/>
      <c r="B135" s="139"/>
      <c r="C135" s="139"/>
      <c r="D135" s="140"/>
      <c r="E135" s="311" t="e">
        <f t="shared" si="17"/>
        <v>#DIV/0!</v>
      </c>
      <c r="F135" s="174" t="e">
        <f t="shared" si="18"/>
        <v>#DIV/0!</v>
      </c>
      <c r="G135" s="304">
        <f t="shared" si="19"/>
        <v>0</v>
      </c>
      <c r="H135" s="137"/>
      <c r="I135" s="137"/>
      <c r="J135" s="137"/>
      <c r="K135" s="137"/>
    </row>
    <row r="136" spans="1:11" x14ac:dyDescent="0.35">
      <c r="A136" s="151"/>
      <c r="B136" s="139"/>
      <c r="C136" s="139"/>
      <c r="D136" s="140"/>
      <c r="E136" s="311" t="e">
        <f t="shared" si="17"/>
        <v>#DIV/0!</v>
      </c>
      <c r="F136" s="174" t="e">
        <f t="shared" si="18"/>
        <v>#DIV/0!</v>
      </c>
      <c r="G136" s="304">
        <f t="shared" si="19"/>
        <v>0</v>
      </c>
      <c r="H136" s="137"/>
      <c r="I136" s="137"/>
      <c r="J136" s="137"/>
      <c r="K136" s="137"/>
    </row>
    <row r="137" spans="1:11" x14ac:dyDescent="0.35">
      <c r="A137" s="151"/>
      <c r="B137" s="139"/>
      <c r="C137" s="139"/>
      <c r="D137" s="140"/>
      <c r="E137" s="311" t="e">
        <f t="shared" si="17"/>
        <v>#DIV/0!</v>
      </c>
      <c r="F137" s="174" t="e">
        <f t="shared" si="18"/>
        <v>#DIV/0!</v>
      </c>
      <c r="G137" s="304">
        <f t="shared" si="19"/>
        <v>0</v>
      </c>
      <c r="H137" s="137"/>
      <c r="I137" s="137"/>
      <c r="J137" s="137"/>
      <c r="K137" s="137"/>
    </row>
    <row r="138" spans="1:11" x14ac:dyDescent="0.35">
      <c r="A138" s="151"/>
      <c r="B138" s="139"/>
      <c r="C138" s="139"/>
      <c r="D138" s="140"/>
      <c r="E138" s="311" t="e">
        <f t="shared" si="17"/>
        <v>#DIV/0!</v>
      </c>
      <c r="F138" s="174" t="e">
        <f t="shared" si="18"/>
        <v>#DIV/0!</v>
      </c>
      <c r="G138" s="304">
        <f t="shared" si="19"/>
        <v>0</v>
      </c>
      <c r="H138" s="137"/>
      <c r="I138" s="137"/>
      <c r="J138" s="137"/>
      <c r="K138" s="137"/>
    </row>
    <row r="139" spans="1:11" x14ac:dyDescent="0.35">
      <c r="A139" s="151"/>
      <c r="B139" s="139"/>
      <c r="C139" s="139"/>
      <c r="D139" s="140"/>
      <c r="E139" s="311" t="e">
        <f t="shared" si="17"/>
        <v>#DIV/0!</v>
      </c>
      <c r="F139" s="174" t="e">
        <f t="shared" si="18"/>
        <v>#DIV/0!</v>
      </c>
      <c r="G139" s="304">
        <f t="shared" si="19"/>
        <v>0</v>
      </c>
      <c r="H139" s="137"/>
      <c r="I139" s="137"/>
      <c r="J139" s="137"/>
      <c r="K139" s="137"/>
    </row>
    <row r="140" spans="1:11" x14ac:dyDescent="0.35">
      <c r="A140" s="151"/>
      <c r="B140" s="139"/>
      <c r="C140" s="139"/>
      <c r="D140" s="140"/>
      <c r="E140" s="311" t="e">
        <f t="shared" ref="E140:E143" si="20">+D140*$E$129</f>
        <v>#DIV/0!</v>
      </c>
      <c r="F140" s="174" t="e">
        <f t="shared" ref="F140:F143" si="21">+D140*$F$129</f>
        <v>#DIV/0!</v>
      </c>
      <c r="G140" s="304">
        <f t="shared" ref="G140:G143" si="22">+D140*$G$129</f>
        <v>0</v>
      </c>
      <c r="H140" s="137"/>
      <c r="I140" s="137"/>
      <c r="J140" s="137"/>
      <c r="K140" s="137"/>
    </row>
    <row r="141" spans="1:11" x14ac:dyDescent="0.35">
      <c r="A141" s="151"/>
      <c r="B141" s="139"/>
      <c r="C141" s="139"/>
      <c r="D141" s="140"/>
      <c r="E141" s="311" t="e">
        <f t="shared" si="20"/>
        <v>#DIV/0!</v>
      </c>
      <c r="F141" s="174" t="e">
        <f t="shared" si="21"/>
        <v>#DIV/0!</v>
      </c>
      <c r="G141" s="304">
        <f t="shared" si="22"/>
        <v>0</v>
      </c>
      <c r="H141" s="137"/>
      <c r="I141" s="137"/>
      <c r="J141" s="137"/>
      <c r="K141" s="137"/>
    </row>
    <row r="142" spans="1:11" x14ac:dyDescent="0.35">
      <c r="A142" s="151"/>
      <c r="B142" s="139"/>
      <c r="C142" s="139"/>
      <c r="D142" s="140"/>
      <c r="E142" s="311" t="e">
        <f t="shared" si="20"/>
        <v>#DIV/0!</v>
      </c>
      <c r="F142" s="174" t="e">
        <f t="shared" si="21"/>
        <v>#DIV/0!</v>
      </c>
      <c r="G142" s="304">
        <f t="shared" si="22"/>
        <v>0</v>
      </c>
      <c r="H142" s="137"/>
      <c r="I142" s="137"/>
      <c r="J142" s="137"/>
      <c r="K142" s="137"/>
    </row>
    <row r="143" spans="1:11" x14ac:dyDescent="0.35">
      <c r="A143" s="151"/>
      <c r="B143" s="139"/>
      <c r="C143" s="139"/>
      <c r="D143" s="140"/>
      <c r="E143" s="311" t="e">
        <f t="shared" si="20"/>
        <v>#DIV/0!</v>
      </c>
      <c r="F143" s="174" t="e">
        <f t="shared" si="21"/>
        <v>#DIV/0!</v>
      </c>
      <c r="G143" s="304">
        <f t="shared" si="22"/>
        <v>0</v>
      </c>
      <c r="H143" s="137"/>
      <c r="I143" s="137"/>
      <c r="J143" s="137"/>
      <c r="K143" s="137"/>
    </row>
    <row r="144" spans="1:11" x14ac:dyDescent="0.35">
      <c r="A144" s="151"/>
      <c r="B144" s="139"/>
      <c r="C144" s="139"/>
      <c r="D144" s="140"/>
      <c r="E144" s="311" t="e">
        <f>+D144*$E$129</f>
        <v>#DIV/0!</v>
      </c>
      <c r="F144" s="174" t="e">
        <f>+D144*$F$129</f>
        <v>#DIV/0!</v>
      </c>
      <c r="G144" s="304">
        <f>+D144*$G$129</f>
        <v>0</v>
      </c>
      <c r="H144" s="137"/>
      <c r="I144" s="137"/>
      <c r="J144" s="137"/>
      <c r="K144" s="137"/>
    </row>
    <row r="145" spans="1:11" ht="15.5" x14ac:dyDescent="0.35">
      <c r="A145" s="152"/>
      <c r="B145" s="139"/>
      <c r="C145" s="139"/>
      <c r="D145" s="140"/>
      <c r="E145" s="311" t="e">
        <f>+D145*$E$129</f>
        <v>#DIV/0!</v>
      </c>
      <c r="F145" s="174" t="e">
        <f>+D145*$F$129</f>
        <v>#DIV/0!</v>
      </c>
      <c r="G145" s="304">
        <f>+D145*$G$129</f>
        <v>0</v>
      </c>
      <c r="H145" s="137"/>
      <c r="I145" s="137"/>
      <c r="J145" s="137"/>
      <c r="K145" s="137"/>
    </row>
    <row r="146" spans="1:11" ht="16" thickBot="1" x14ac:dyDescent="0.4">
      <c r="A146" s="152"/>
      <c r="B146" s="139"/>
      <c r="C146" s="139"/>
      <c r="D146" s="140"/>
      <c r="E146" s="312" t="e">
        <f>+D146*$E$129</f>
        <v>#DIV/0!</v>
      </c>
      <c r="F146" s="313" t="e">
        <f>+D146*$F$129</f>
        <v>#DIV/0!</v>
      </c>
      <c r="G146" s="308">
        <f>+D146*$G$129</f>
        <v>0</v>
      </c>
      <c r="H146" s="137"/>
      <c r="I146" s="137"/>
      <c r="J146" s="137"/>
      <c r="K146" s="137"/>
    </row>
    <row r="147" spans="1:11" ht="16" thickBot="1" x14ac:dyDescent="0.4">
      <c r="A147" s="768" t="s">
        <v>179</v>
      </c>
      <c r="B147" s="769"/>
      <c r="C147" s="769"/>
      <c r="D147" s="167">
        <f>+SUM(D132:D146)</f>
        <v>0</v>
      </c>
      <c r="E147" s="167" t="e">
        <f>+SUM(E132:E146)</f>
        <v>#DIV/0!</v>
      </c>
      <c r="F147" s="167" t="e">
        <f>+SUM(F132:F146)</f>
        <v>#DIV/0!</v>
      </c>
      <c r="G147" s="161">
        <f>+SUM(G132:G146)</f>
        <v>0</v>
      </c>
      <c r="H147" s="137"/>
      <c r="I147" s="109" t="s">
        <v>285</v>
      </c>
      <c r="J147" s="162" t="e">
        <f>D147-G147-F147-E147</f>
        <v>#DIV/0!</v>
      </c>
      <c r="K147" s="137"/>
    </row>
    <row r="148" spans="1:11" ht="16" thickBot="1" x14ac:dyDescent="0.4">
      <c r="A148" s="145"/>
      <c r="B148" s="146"/>
      <c r="C148" s="146"/>
      <c r="D148" s="146"/>
      <c r="E148" s="147"/>
      <c r="F148" s="146"/>
      <c r="G148" s="148"/>
      <c r="H148" s="137"/>
      <c r="I148" s="137"/>
      <c r="J148" s="137"/>
      <c r="K148" s="137"/>
    </row>
    <row r="149" spans="1:11" ht="16" thickBot="1" x14ac:dyDescent="0.4">
      <c r="A149" s="768" t="s">
        <v>110</v>
      </c>
      <c r="B149" s="769"/>
      <c r="C149" s="769"/>
      <c r="D149" s="167">
        <f>+D147+D107+D91+D66+D127</f>
        <v>0</v>
      </c>
      <c r="E149" s="167" t="e">
        <f>+E147+E107+E91+E66+E127</f>
        <v>#DIV/0!</v>
      </c>
      <c r="F149" s="167" t="e">
        <f>+F147+F107+F91+F66+F127</f>
        <v>#DIV/0!</v>
      </c>
      <c r="G149" s="167" t="e">
        <f>+G147+G107+G91+G66+G127</f>
        <v>#DIV/0!</v>
      </c>
      <c r="H149" s="137"/>
      <c r="I149" s="109" t="s">
        <v>285</v>
      </c>
      <c r="J149" s="162" t="e">
        <f>D149-G149-F149-E149</f>
        <v>#DIV/0!</v>
      </c>
      <c r="K149" s="137"/>
    </row>
    <row r="150" spans="1:11" ht="16" thickBot="1" x14ac:dyDescent="0.4">
      <c r="A150" s="145"/>
      <c r="B150" s="146"/>
      <c r="C150" s="146"/>
      <c r="D150" s="146"/>
      <c r="E150" s="147"/>
      <c r="F150" s="146"/>
      <c r="G150" s="148"/>
      <c r="H150" s="137"/>
      <c r="I150" s="137"/>
      <c r="J150" s="137"/>
      <c r="K150" s="137"/>
    </row>
    <row r="151" spans="1:11" ht="19" thickBot="1" x14ac:dyDescent="0.5">
      <c r="A151" s="770" t="s">
        <v>112</v>
      </c>
      <c r="B151" s="771"/>
      <c r="C151" s="771"/>
      <c r="D151" s="772"/>
      <c r="E151" s="773" t="s">
        <v>113</v>
      </c>
      <c r="F151" s="773" t="s">
        <v>223</v>
      </c>
      <c r="G151" s="7"/>
      <c r="H151" s="137"/>
      <c r="I151" s="137"/>
      <c r="J151" s="137"/>
      <c r="K151" s="137"/>
    </row>
    <row r="152" spans="1:11" x14ac:dyDescent="0.35">
      <c r="A152" s="774" t="s">
        <v>2</v>
      </c>
      <c r="B152" s="775"/>
      <c r="C152" s="775"/>
      <c r="D152" s="169">
        <f>+D149</f>
        <v>0</v>
      </c>
      <c r="E152" s="170" t="e">
        <f>D152/D149</f>
        <v>#DIV/0!</v>
      </c>
      <c r="F152" s="169"/>
      <c r="G152" s="7" t="s">
        <v>216</v>
      </c>
      <c r="H152" s="137"/>
      <c r="I152" s="137"/>
      <c r="J152" s="137"/>
      <c r="K152" s="137"/>
    </row>
    <row r="153" spans="1:11" x14ac:dyDescent="0.35">
      <c r="A153" s="31"/>
      <c r="B153" s="3"/>
      <c r="C153" s="3"/>
      <c r="D153" s="171"/>
      <c r="E153" s="776"/>
      <c r="F153" s="171"/>
      <c r="G153" s="7" t="s">
        <v>217</v>
      </c>
      <c r="H153" s="137"/>
      <c r="I153" s="137"/>
      <c r="J153" s="137"/>
      <c r="K153" s="137"/>
    </row>
    <row r="154" spans="1:11" x14ac:dyDescent="0.35">
      <c r="A154" s="31" t="s">
        <v>325</v>
      </c>
      <c r="B154" s="3"/>
      <c r="C154" s="3"/>
      <c r="D154" s="171">
        <f>D66</f>
        <v>0</v>
      </c>
      <c r="E154" s="172" t="e">
        <f>D154/D157</f>
        <v>#DIV/0!</v>
      </c>
      <c r="F154" s="171" t="e">
        <f>D154/Stammdaten!B7</f>
        <v>#DIV/0!</v>
      </c>
      <c r="G154" s="173" t="e">
        <f>D154/(D154+D155)</f>
        <v>#DIV/0!</v>
      </c>
      <c r="H154" s="137"/>
      <c r="I154" s="137"/>
      <c r="J154" s="137"/>
      <c r="K154" s="137"/>
    </row>
    <row r="155" spans="1:11" x14ac:dyDescent="0.35">
      <c r="A155" s="31" t="s">
        <v>3</v>
      </c>
      <c r="B155" s="3"/>
      <c r="C155" s="3"/>
      <c r="D155" s="171">
        <f>D91</f>
        <v>0</v>
      </c>
      <c r="E155" s="172" t="e">
        <f>D155/D157</f>
        <v>#DIV/0!</v>
      </c>
      <c r="F155" s="171" t="e">
        <f>D155/Stammdaten!B7</f>
        <v>#DIV/0!</v>
      </c>
      <c r="G155" s="173" t="e">
        <f>D155/(D155+D154)</f>
        <v>#DIV/0!</v>
      </c>
      <c r="H155" s="137"/>
      <c r="I155" s="137"/>
      <c r="J155" s="137"/>
      <c r="K155" s="137"/>
    </row>
    <row r="156" spans="1:11" x14ac:dyDescent="0.35">
      <c r="A156" s="564" t="s">
        <v>53</v>
      </c>
      <c r="B156" s="605"/>
      <c r="C156" s="605"/>
      <c r="D156" s="174">
        <f>D107</f>
        <v>0</v>
      </c>
      <c r="E156" s="175" t="e">
        <f>D156/D157</f>
        <v>#DIV/0!</v>
      </c>
      <c r="F156" s="777"/>
      <c r="G156" s="7"/>
      <c r="H156" s="137"/>
      <c r="I156" s="137"/>
      <c r="J156" s="137"/>
      <c r="K156" s="137"/>
    </row>
    <row r="157" spans="1:11" x14ac:dyDescent="0.35">
      <c r="A157" s="31" t="s">
        <v>111</v>
      </c>
      <c r="B157" s="3"/>
      <c r="C157" s="3"/>
      <c r="D157" s="171">
        <f>D155+D154+D156</f>
        <v>0</v>
      </c>
      <c r="E157" s="172" t="e">
        <f>SUM(E154:E156)</f>
        <v>#DIV/0!</v>
      </c>
      <c r="F157" s="778"/>
      <c r="G157" s="7"/>
      <c r="H157" s="137"/>
      <c r="I157" s="137"/>
      <c r="J157" s="137"/>
      <c r="K157" s="137"/>
    </row>
    <row r="158" spans="1:11" x14ac:dyDescent="0.35">
      <c r="A158" s="31"/>
      <c r="B158" s="3"/>
      <c r="C158" s="3"/>
      <c r="D158" s="171"/>
      <c r="E158" s="778"/>
      <c r="F158" s="778"/>
      <c r="G158" s="7"/>
      <c r="H158" s="137"/>
      <c r="I158" s="137"/>
      <c r="J158" s="137"/>
      <c r="K158" s="137"/>
    </row>
    <row r="159" spans="1:11" x14ac:dyDescent="0.35">
      <c r="A159" s="31" t="s">
        <v>218</v>
      </c>
      <c r="B159" s="3"/>
      <c r="C159" s="3"/>
      <c r="D159" s="171">
        <f>D127</f>
        <v>0</v>
      </c>
      <c r="E159" s="778"/>
      <c r="F159" s="778"/>
      <c r="G159" s="7"/>
      <c r="H159" s="137"/>
      <c r="I159" s="137"/>
      <c r="J159" s="137"/>
      <c r="K159" s="137"/>
    </row>
    <row r="160" spans="1:11" x14ac:dyDescent="0.35">
      <c r="A160" s="31" t="s">
        <v>4</v>
      </c>
      <c r="B160" s="3" t="s">
        <v>326</v>
      </c>
      <c r="C160" s="3"/>
      <c r="D160" s="171" t="e">
        <f>D159*E160</f>
        <v>#DIV/0!</v>
      </c>
      <c r="E160" s="172" t="e">
        <f>+E154</f>
        <v>#DIV/0!</v>
      </c>
      <c r="F160" s="171" t="e">
        <f>D160/Stammdaten!B7</f>
        <v>#DIV/0!</v>
      </c>
      <c r="G160" s="7"/>
      <c r="H160" s="137"/>
      <c r="I160" s="137"/>
      <c r="J160" s="137"/>
      <c r="K160" s="137"/>
    </row>
    <row r="161" spans="1:11" x14ac:dyDescent="0.35">
      <c r="A161" s="31"/>
      <c r="B161" s="3" t="s">
        <v>103</v>
      </c>
      <c r="C161" s="3"/>
      <c r="D161" s="171" t="e">
        <f>D159*E161</f>
        <v>#DIV/0!</v>
      </c>
      <c r="E161" s="172" t="e">
        <f>+E155</f>
        <v>#DIV/0!</v>
      </c>
      <c r="F161" s="171" t="e">
        <f>D161/Stammdaten!B7</f>
        <v>#DIV/0!</v>
      </c>
      <c r="G161" s="7"/>
      <c r="H161" s="137"/>
      <c r="I161" s="137"/>
      <c r="J161" s="137"/>
      <c r="K161" s="137"/>
    </row>
    <row r="162" spans="1:11" x14ac:dyDescent="0.35">
      <c r="A162" s="31"/>
      <c r="B162" s="3" t="s">
        <v>54</v>
      </c>
      <c r="C162" s="3"/>
      <c r="D162" s="171" t="e">
        <f>D159*E162</f>
        <v>#DIV/0!</v>
      </c>
      <c r="E162" s="172" t="e">
        <f>+E156</f>
        <v>#DIV/0!</v>
      </c>
      <c r="F162" s="171"/>
      <c r="G162" s="7"/>
      <c r="H162" s="137"/>
      <c r="I162" s="137"/>
      <c r="J162" s="137"/>
      <c r="K162" s="137"/>
    </row>
    <row r="163" spans="1:11" x14ac:dyDescent="0.35">
      <c r="A163" s="31"/>
      <c r="B163" s="3"/>
      <c r="C163" s="3"/>
      <c r="D163" s="171"/>
      <c r="E163" s="172"/>
      <c r="F163" s="171"/>
      <c r="G163" s="7"/>
      <c r="H163" s="137"/>
      <c r="I163" s="144"/>
      <c r="J163" s="153"/>
      <c r="K163" s="811"/>
    </row>
    <row r="164" spans="1:11" x14ac:dyDescent="0.35">
      <c r="A164" s="31" t="s">
        <v>219</v>
      </c>
      <c r="B164" s="3"/>
      <c r="C164" s="3"/>
      <c r="D164" s="171">
        <f>D147</f>
        <v>0</v>
      </c>
      <c r="E164" s="778"/>
      <c r="F164" s="778"/>
      <c r="G164" s="7"/>
      <c r="H164" s="137"/>
      <c r="I164" s="144"/>
      <c r="J164" s="153"/>
      <c r="K164" s="811"/>
    </row>
    <row r="165" spans="1:11" x14ac:dyDescent="0.35">
      <c r="A165" s="31" t="s">
        <v>4</v>
      </c>
      <c r="B165" s="3" t="s">
        <v>326</v>
      </c>
      <c r="C165" s="3"/>
      <c r="D165" s="171" t="e">
        <f>D164*E165</f>
        <v>#DIV/0!</v>
      </c>
      <c r="E165" s="172" t="e">
        <f>+G154</f>
        <v>#DIV/0!</v>
      </c>
      <c r="F165" s="171" t="e">
        <f>D165/Stammdaten!B7</f>
        <v>#DIV/0!</v>
      </c>
      <c r="G165" s="7"/>
      <c r="H165" s="137"/>
      <c r="I165" s="144"/>
      <c r="J165" s="153"/>
      <c r="K165" s="137"/>
    </row>
    <row r="166" spans="1:11" x14ac:dyDescent="0.35">
      <c r="A166" s="31"/>
      <c r="B166" s="3" t="s">
        <v>103</v>
      </c>
      <c r="C166" s="3"/>
      <c r="D166" s="171" t="e">
        <f>D164*E166</f>
        <v>#DIV/0!</v>
      </c>
      <c r="E166" s="172" t="e">
        <f>+G155</f>
        <v>#DIV/0!</v>
      </c>
      <c r="F166" s="171" t="e">
        <f>D166/Stammdaten!B7</f>
        <v>#DIV/0!</v>
      </c>
      <c r="G166" s="7"/>
      <c r="H166" s="137"/>
      <c r="I166" s="109" t="s">
        <v>285</v>
      </c>
      <c r="J166" s="162" t="e">
        <f>D152-D157-D162-D160-D161-D165-D166</f>
        <v>#DIV/0!</v>
      </c>
      <c r="K166" s="137"/>
    </row>
    <row r="167" spans="1:11" ht="15" thickBot="1" x14ac:dyDescent="0.4">
      <c r="A167" s="31"/>
      <c r="B167" s="3"/>
      <c r="C167" s="3"/>
      <c r="D167" s="171"/>
      <c r="E167" s="778"/>
      <c r="F167" s="778"/>
      <c r="G167" s="7"/>
      <c r="H167" s="137"/>
      <c r="I167" s="137"/>
      <c r="J167" s="137"/>
      <c r="K167" s="137"/>
    </row>
    <row r="168" spans="1:11" ht="19" thickBot="1" x14ac:dyDescent="0.5">
      <c r="A168" s="779" t="s">
        <v>7</v>
      </c>
      <c r="B168" s="780"/>
      <c r="C168" s="780"/>
      <c r="D168" s="781"/>
      <c r="E168" s="782" t="s">
        <v>113</v>
      </c>
      <c r="F168" s="782"/>
      <c r="G168" s="7"/>
      <c r="H168" s="137"/>
      <c r="I168" s="137"/>
      <c r="J168" s="137"/>
      <c r="K168" s="137"/>
    </row>
    <row r="169" spans="1:11" ht="19" thickBot="1" x14ac:dyDescent="0.5">
      <c r="A169" s="39"/>
      <c r="B169" s="783"/>
      <c r="C169" s="784" t="s">
        <v>326</v>
      </c>
      <c r="D169" s="176" t="e">
        <f>D154+D160+D165</f>
        <v>#DIV/0!</v>
      </c>
      <c r="E169" s="510" t="e">
        <f>D169/D172</f>
        <v>#DIV/0!</v>
      </c>
      <c r="F169" s="785"/>
      <c r="G169" s="7"/>
      <c r="H169" s="137"/>
      <c r="I169" s="109" t="s">
        <v>285</v>
      </c>
      <c r="J169" s="162" t="e">
        <f>D169-E149</f>
        <v>#DIV/0!</v>
      </c>
      <c r="K169" s="137"/>
    </row>
    <row r="170" spans="1:11" ht="19" thickBot="1" x14ac:dyDescent="0.5">
      <c r="A170" s="39"/>
      <c r="B170" s="783"/>
      <c r="C170" s="784" t="s">
        <v>103</v>
      </c>
      <c r="D170" s="176" t="e">
        <f>D155+D161+D166</f>
        <v>#DIV/0!</v>
      </c>
      <c r="E170" s="510" t="e">
        <f>D170/D172</f>
        <v>#DIV/0!</v>
      </c>
      <c r="F170" s="785"/>
      <c r="G170" s="7"/>
      <c r="H170" s="137"/>
      <c r="I170" s="109" t="s">
        <v>285</v>
      </c>
      <c r="J170" s="162" t="e">
        <f>D170-F149</f>
        <v>#DIV/0!</v>
      </c>
      <c r="K170" s="137"/>
    </row>
    <row r="171" spans="1:11" ht="19" thickBot="1" x14ac:dyDescent="0.5">
      <c r="A171" s="786"/>
      <c r="B171" s="38"/>
      <c r="C171" s="787" t="s">
        <v>54</v>
      </c>
      <c r="D171" s="177" t="e">
        <f>D162+D156</f>
        <v>#DIV/0!</v>
      </c>
      <c r="E171" s="510" t="e">
        <f>D171/D172</f>
        <v>#DIV/0!</v>
      </c>
      <c r="F171" s="788"/>
      <c r="G171" s="7"/>
      <c r="H171" s="137"/>
      <c r="I171" s="109" t="s">
        <v>285</v>
      </c>
      <c r="J171" s="162" t="e">
        <f>D171-G149</f>
        <v>#DIV/0!</v>
      </c>
      <c r="K171" s="137"/>
    </row>
    <row r="172" spans="1:11" ht="19" thickBot="1" x14ac:dyDescent="0.5">
      <c r="A172" s="39"/>
      <c r="B172" s="789"/>
      <c r="C172" s="789"/>
      <c r="D172" s="178" t="e">
        <f>SUM(D169:D171)</f>
        <v>#DIV/0!</v>
      </c>
      <c r="E172" s="179" t="e">
        <f>SUM(E169:E171)</f>
        <v>#DIV/0!</v>
      </c>
      <c r="F172" s="785"/>
      <c r="G172" s="7"/>
      <c r="H172" s="137"/>
      <c r="I172" s="109" t="s">
        <v>285</v>
      </c>
      <c r="J172" s="162" t="e">
        <f>D152-D172</f>
        <v>#DIV/0!</v>
      </c>
      <c r="K172" s="137"/>
    </row>
    <row r="173" spans="1:11" ht="19" thickBot="1" x14ac:dyDescent="0.5">
      <c r="A173" s="779" t="s">
        <v>55</v>
      </c>
      <c r="B173" s="780"/>
      <c r="C173" s="780"/>
      <c r="D173" s="790"/>
      <c r="E173" s="782" t="s">
        <v>113</v>
      </c>
      <c r="F173" s="782" t="s">
        <v>223</v>
      </c>
      <c r="G173" s="7"/>
      <c r="H173" s="137"/>
      <c r="I173" s="137"/>
      <c r="J173" s="137"/>
      <c r="K173" s="137"/>
    </row>
    <row r="174" spans="1:11" ht="26.5" thickBot="1" x14ac:dyDescent="0.65">
      <c r="A174" s="791"/>
      <c r="B174" s="783"/>
      <c r="C174" s="784" t="s">
        <v>326</v>
      </c>
      <c r="D174" s="180" t="e">
        <f>D154+D160+D165</f>
        <v>#DIV/0!</v>
      </c>
      <c r="E174" s="181" t="e">
        <f>D174/D176</f>
        <v>#DIV/0!</v>
      </c>
      <c r="F174" s="178" t="e">
        <f>D174/Stammdaten!B7</f>
        <v>#DIV/0!</v>
      </c>
      <c r="G174" s="7"/>
      <c r="H174" s="137"/>
      <c r="I174" s="109" t="s">
        <v>285</v>
      </c>
      <c r="J174" s="162" t="e">
        <f>D174-E149</f>
        <v>#DIV/0!</v>
      </c>
      <c r="K174" s="137"/>
    </row>
    <row r="175" spans="1:11" ht="26.5" thickBot="1" x14ac:dyDescent="0.65">
      <c r="A175" s="786"/>
      <c r="B175" s="38"/>
      <c r="C175" s="792" t="s">
        <v>8</v>
      </c>
      <c r="D175" s="180" t="e">
        <f>D161+D155+D166</f>
        <v>#DIV/0!</v>
      </c>
      <c r="E175" s="181" t="e">
        <f>D175/D176</f>
        <v>#DIV/0!</v>
      </c>
      <c r="F175" s="177" t="e">
        <f>D175/Stammdaten!B7</f>
        <v>#DIV/0!</v>
      </c>
      <c r="G175" s="7"/>
      <c r="H175" s="137"/>
      <c r="I175" s="109" t="s">
        <v>285</v>
      </c>
      <c r="J175" s="162" t="e">
        <f>D175-F149</f>
        <v>#DIV/0!</v>
      </c>
      <c r="K175" s="137"/>
    </row>
    <row r="176" spans="1:11" x14ac:dyDescent="0.35">
      <c r="A176" s="786"/>
      <c r="B176" s="793"/>
      <c r="C176" s="793"/>
      <c r="D176" s="177" t="e">
        <f>D175+D174</f>
        <v>#DIV/0!</v>
      </c>
      <c r="E176" s="794" t="e">
        <f>+SUM(E174:E175)</f>
        <v>#DIV/0!</v>
      </c>
      <c r="F176" s="177" t="e">
        <f>F175+F174</f>
        <v>#DIV/0!</v>
      </c>
      <c r="G176" s="724"/>
      <c r="H176" s="137"/>
      <c r="I176" s="109" t="s">
        <v>285</v>
      </c>
      <c r="J176" s="162" t="e">
        <f>D176-D154-D160-D155-D161-D165-D166</f>
        <v>#DIV/0!</v>
      </c>
      <c r="K176" s="137"/>
    </row>
    <row r="177" spans="1:11" x14ac:dyDescent="0.35">
      <c r="A177" s="155"/>
      <c r="B177" s="155"/>
      <c r="C177" s="155"/>
      <c r="D177" s="155"/>
      <c r="E177" s="155"/>
      <c r="F177" s="155"/>
      <c r="G177" s="137"/>
      <c r="H177" s="137"/>
      <c r="I177" s="137"/>
      <c r="J177" s="137"/>
      <c r="K177" s="137"/>
    </row>
    <row r="178" spans="1:11" x14ac:dyDescent="0.35">
      <c r="A178" s="795" t="s">
        <v>270</v>
      </c>
      <c r="B178" s="796"/>
      <c r="C178" s="796"/>
      <c r="D178" s="796"/>
      <c r="E178" s="796"/>
      <c r="F178" s="796"/>
      <c r="G178" s="797"/>
      <c r="H178" s="156"/>
      <c r="I178" s="156"/>
      <c r="J178" s="156"/>
      <c r="K178" s="137"/>
    </row>
    <row r="179" spans="1:11" x14ac:dyDescent="0.35">
      <c r="A179" s="798" t="s">
        <v>188</v>
      </c>
      <c r="B179" s="799"/>
      <c r="C179" s="799"/>
      <c r="D179" s="799"/>
      <c r="E179" s="799"/>
      <c r="F179" s="799"/>
      <c r="G179" s="800"/>
      <c r="H179" s="156"/>
      <c r="I179" s="156"/>
      <c r="J179" s="156"/>
      <c r="K179" s="137"/>
    </row>
    <row r="180" spans="1:11" x14ac:dyDescent="0.35">
      <c r="A180" s="798" t="s">
        <v>327</v>
      </c>
      <c r="B180" s="799"/>
      <c r="C180" s="799"/>
      <c r="D180" s="799"/>
      <c r="E180" s="799"/>
      <c r="F180" s="799"/>
      <c r="G180" s="800"/>
      <c r="H180" s="156"/>
      <c r="I180" s="156"/>
      <c r="J180" s="156"/>
      <c r="K180" s="137"/>
    </row>
    <row r="181" spans="1:11" x14ac:dyDescent="0.35">
      <c r="A181" s="798" t="s">
        <v>180</v>
      </c>
      <c r="B181" s="799"/>
      <c r="C181" s="799"/>
      <c r="D181" s="799"/>
      <c r="E181" s="799"/>
      <c r="F181" s="799"/>
      <c r="G181" s="800"/>
      <c r="H181" s="156"/>
      <c r="I181" s="156"/>
      <c r="J181" s="156"/>
      <c r="K181" s="137"/>
    </row>
    <row r="182" spans="1:11" x14ac:dyDescent="0.35">
      <c r="A182" s="798" t="s">
        <v>181</v>
      </c>
      <c r="B182" s="799"/>
      <c r="C182" s="799"/>
      <c r="D182" s="799"/>
      <c r="E182" s="799"/>
      <c r="F182" s="799"/>
      <c r="G182" s="800"/>
      <c r="H182" s="156"/>
      <c r="I182" s="156"/>
      <c r="J182" s="156"/>
      <c r="K182" s="137"/>
    </row>
    <row r="183" spans="1:11" ht="43.5" x14ac:dyDescent="0.35">
      <c r="A183" s="798"/>
      <c r="B183" s="799"/>
      <c r="C183" s="799"/>
      <c r="D183" s="799"/>
      <c r="E183" s="801" t="s">
        <v>182</v>
      </c>
      <c r="F183" s="801" t="s">
        <v>183</v>
      </c>
      <c r="G183" s="800"/>
      <c r="H183" s="156"/>
      <c r="I183" s="156"/>
      <c r="J183" s="156"/>
      <c r="K183" s="137"/>
    </row>
    <row r="184" spans="1:11" x14ac:dyDescent="0.35">
      <c r="A184" s="798" t="s">
        <v>184</v>
      </c>
      <c r="B184" s="799"/>
      <c r="C184" s="799"/>
      <c r="D184" s="182">
        <f>D66</f>
        <v>0</v>
      </c>
      <c r="E184" s="183" t="e">
        <f>D184/D192</f>
        <v>#DIV/0!</v>
      </c>
      <c r="F184" s="183" t="e">
        <f>D184/D186</f>
        <v>#DIV/0!</v>
      </c>
      <c r="G184" s="800"/>
      <c r="H184" s="156"/>
      <c r="I184" s="157"/>
      <c r="J184" s="157"/>
      <c r="K184" s="137"/>
    </row>
    <row r="185" spans="1:11" x14ac:dyDescent="0.35">
      <c r="A185" s="802" t="s">
        <v>185</v>
      </c>
      <c r="B185" s="803"/>
      <c r="C185" s="803"/>
      <c r="D185" s="184" t="e">
        <f>D160+D165</f>
        <v>#DIV/0!</v>
      </c>
      <c r="E185" s="185" t="e">
        <f>D185/D192</f>
        <v>#DIV/0!</v>
      </c>
      <c r="F185" s="185" t="e">
        <f>D185/D186</f>
        <v>#DIV/0!</v>
      </c>
      <c r="G185" s="800"/>
      <c r="H185" s="156"/>
      <c r="I185" s="156"/>
      <c r="J185" s="157"/>
      <c r="K185" s="137"/>
    </row>
    <row r="186" spans="1:11" x14ac:dyDescent="0.35">
      <c r="A186" s="798"/>
      <c r="B186" s="799"/>
      <c r="C186" s="799"/>
      <c r="D186" s="182" t="e">
        <f>SUM(D184:D185)</f>
        <v>#DIV/0!</v>
      </c>
      <c r="E186" s="186" t="e">
        <f>SUM(E184:E185)</f>
        <v>#DIV/0!</v>
      </c>
      <c r="F186" s="186" t="e">
        <f>SUM(F184:F185)</f>
        <v>#DIV/0!</v>
      </c>
      <c r="G186" s="800"/>
      <c r="H186" s="156"/>
      <c r="I186" s="156"/>
      <c r="J186" s="157"/>
      <c r="K186" s="137"/>
    </row>
    <row r="187" spans="1:11" x14ac:dyDescent="0.35">
      <c r="A187" s="798"/>
      <c r="B187" s="799"/>
      <c r="C187" s="799"/>
      <c r="D187" s="182"/>
      <c r="E187" s="804"/>
      <c r="F187" s="805"/>
      <c r="G187" s="800"/>
      <c r="H187" s="156"/>
      <c r="I187" s="156"/>
      <c r="J187" s="156"/>
      <c r="K187" s="137"/>
    </row>
    <row r="188" spans="1:11" x14ac:dyDescent="0.35">
      <c r="A188" s="798" t="s">
        <v>8</v>
      </c>
      <c r="B188" s="799"/>
      <c r="C188" s="799"/>
      <c r="D188" s="182">
        <f>D91</f>
        <v>0</v>
      </c>
      <c r="E188" s="804"/>
      <c r="F188" s="805"/>
      <c r="G188" s="800"/>
      <c r="H188" s="156"/>
      <c r="I188" s="156"/>
      <c r="J188" s="156"/>
      <c r="K188" s="137"/>
    </row>
    <row r="189" spans="1:11" x14ac:dyDescent="0.35">
      <c r="A189" s="802" t="s">
        <v>186</v>
      </c>
      <c r="B189" s="803"/>
      <c r="C189" s="803"/>
      <c r="D189" s="184" t="e">
        <f>D161+D166</f>
        <v>#DIV/0!</v>
      </c>
      <c r="E189" s="804"/>
      <c r="F189" s="805"/>
      <c r="G189" s="800"/>
      <c r="H189" s="156"/>
      <c r="I189" s="137"/>
      <c r="J189" s="137"/>
      <c r="K189" s="137"/>
    </row>
    <row r="190" spans="1:11" x14ac:dyDescent="0.35">
      <c r="A190" s="798"/>
      <c r="B190" s="799"/>
      <c r="C190" s="799"/>
      <c r="D190" s="182" t="e">
        <f>SUM(D188:D189)</f>
        <v>#DIV/0!</v>
      </c>
      <c r="E190" s="187" t="e">
        <f>D190/D192</f>
        <v>#DIV/0!</v>
      </c>
      <c r="F190" s="188" t="s">
        <v>187</v>
      </c>
      <c r="G190" s="800"/>
      <c r="H190" s="156"/>
      <c r="I190" s="531" t="s">
        <v>285</v>
      </c>
      <c r="J190" s="189" t="e">
        <f>D190+D186-D169-D170</f>
        <v>#DIV/0!</v>
      </c>
      <c r="K190" s="137"/>
    </row>
    <row r="191" spans="1:11" ht="15" thickBot="1" x14ac:dyDescent="0.4">
      <c r="A191" s="806"/>
      <c r="B191" s="807"/>
      <c r="C191" s="807"/>
      <c r="D191" s="808"/>
      <c r="E191" s="805"/>
      <c r="F191" s="805"/>
      <c r="G191" s="800"/>
      <c r="H191" s="156"/>
      <c r="I191" s="156"/>
      <c r="J191" s="156"/>
      <c r="K191" s="137"/>
    </row>
    <row r="192" spans="1:11" ht="15" thickTop="1" x14ac:dyDescent="0.35">
      <c r="A192" s="802"/>
      <c r="B192" s="803"/>
      <c r="C192" s="803"/>
      <c r="D192" s="184" t="e">
        <f>D190+D186</f>
        <v>#DIV/0!</v>
      </c>
      <c r="E192" s="809"/>
      <c r="F192" s="809"/>
      <c r="G192" s="810"/>
      <c r="H192" s="156"/>
      <c r="I192" s="156"/>
      <c r="J192" s="156"/>
      <c r="K192" s="137"/>
    </row>
  </sheetData>
  <sheetProtection sheet="1" objects="1" scenarios="1"/>
  <mergeCells count="5">
    <mergeCell ref="A5:G5"/>
    <mergeCell ref="A109:D109"/>
    <mergeCell ref="A110:G110"/>
    <mergeCell ref="A129:D129"/>
    <mergeCell ref="A130:G130"/>
  </mergeCells>
  <conditionalFormatting sqref="J166">
    <cfRule type="expression" dxfId="127" priority="24">
      <formula>$J$166=""</formula>
    </cfRule>
    <cfRule type="expression" dxfId="126" priority="40">
      <formula>OR(J166&lt;-0.0009,J166&gt;0.0009)</formula>
    </cfRule>
  </conditionalFormatting>
  <conditionalFormatting sqref="J169:J172">
    <cfRule type="expression" dxfId="125" priority="20">
      <formula>$J$166=""</formula>
    </cfRule>
    <cfRule type="expression" dxfId="124" priority="21">
      <formula>OR(J169&lt;-0.0009,J169&gt;0.0009)</formula>
    </cfRule>
  </conditionalFormatting>
  <conditionalFormatting sqref="J174">
    <cfRule type="expression" dxfId="123" priority="18">
      <formula>$J$166=""</formula>
    </cfRule>
    <cfRule type="expression" dxfId="122" priority="19">
      <formula>OR(J174&lt;-0.0009,J174&gt;0.0009)</formula>
    </cfRule>
  </conditionalFormatting>
  <conditionalFormatting sqref="J175:J176">
    <cfRule type="expression" dxfId="121" priority="16">
      <formula>$J$166=""</formula>
    </cfRule>
    <cfRule type="expression" dxfId="120" priority="17">
      <formula>OR(J175&lt;-0.0009,J175&gt;0.0009)</formula>
    </cfRule>
  </conditionalFormatting>
  <conditionalFormatting sqref="J149">
    <cfRule type="expression" dxfId="119" priority="14">
      <formula>$J$166=""</formula>
    </cfRule>
    <cfRule type="expression" dxfId="118" priority="15">
      <formula>OR(J149&lt;-0.0009,J149&gt;0.0009)</formula>
    </cfRule>
  </conditionalFormatting>
  <conditionalFormatting sqref="J147">
    <cfRule type="expression" dxfId="117" priority="12">
      <formula>$J$166=""</formula>
    </cfRule>
    <cfRule type="expression" dxfId="116" priority="13">
      <formula>OR(J147&lt;-0.0009,J147&gt;0.0009)</formula>
    </cfRule>
  </conditionalFormatting>
  <conditionalFormatting sqref="J127">
    <cfRule type="expression" dxfId="115" priority="10">
      <formula>$J$166=""</formula>
    </cfRule>
    <cfRule type="expression" dxfId="114" priority="11">
      <formula>OR(J127&lt;-0.0009,J127&gt;0.0009)</formula>
    </cfRule>
  </conditionalFormatting>
  <conditionalFormatting sqref="J107">
    <cfRule type="expression" dxfId="113" priority="8">
      <formula>$J$166=""</formula>
    </cfRule>
    <cfRule type="expression" dxfId="112" priority="9">
      <formula>OR(J107&lt;-0.0009,J107&gt;0.0009)</formula>
    </cfRule>
  </conditionalFormatting>
  <conditionalFormatting sqref="J91">
    <cfRule type="expression" dxfId="111" priority="6">
      <formula>$J$166=""</formula>
    </cfRule>
    <cfRule type="expression" dxfId="110" priority="7">
      <formula>OR(J91&lt;-0.0009,J91&gt;0.0009)</formula>
    </cfRule>
  </conditionalFormatting>
  <conditionalFormatting sqref="J66">
    <cfRule type="expression" dxfId="109" priority="4">
      <formula>$J$166=""</formula>
    </cfRule>
    <cfRule type="expression" dxfId="108" priority="5">
      <formula>OR(J66&lt;-0.0009,J66&gt;0.0009)</formula>
    </cfRule>
  </conditionalFormatting>
  <conditionalFormatting sqref="J190">
    <cfRule type="expression" dxfId="107" priority="2">
      <formula>$J$166=""</formula>
    </cfRule>
    <cfRule type="expression" dxfId="106"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I123"/>
  <sheetViews>
    <sheetView zoomScaleNormal="100" workbookViewId="0">
      <selection activeCell="A4" sqref="A4"/>
    </sheetView>
  </sheetViews>
  <sheetFormatPr baseColWidth="10" defaultColWidth="11.453125" defaultRowHeight="14.5" x14ac:dyDescent="0.35"/>
  <cols>
    <col min="1" max="1" width="22" style="114" customWidth="1"/>
    <col min="2" max="2" width="29.26953125" style="114" customWidth="1"/>
    <col min="3" max="3" width="12.81640625" style="263" customWidth="1"/>
    <col min="4" max="4" width="17.7265625" style="263" bestFit="1" customWidth="1"/>
    <col min="5" max="5" width="16.453125" style="114" customWidth="1"/>
    <col min="6" max="6" width="15.81640625" style="114" customWidth="1"/>
    <col min="7" max="7" width="5.26953125" style="60" customWidth="1"/>
    <col min="8" max="8" width="12.1796875" style="114" customWidth="1"/>
    <col min="9" max="9" width="14.453125" style="114" bestFit="1" customWidth="1"/>
    <col min="10" max="16384" width="11.453125" style="114"/>
  </cols>
  <sheetData>
    <row r="1" spans="1:8" ht="26" x14ac:dyDescent="0.6">
      <c r="A1" s="607" t="s">
        <v>323</v>
      </c>
      <c r="B1" s="612"/>
      <c r="C1" s="615"/>
      <c r="D1" s="615"/>
      <c r="E1" s="612"/>
      <c r="F1" s="602"/>
    </row>
    <row r="2" spans="1:8" ht="26" x14ac:dyDescent="0.6">
      <c r="A2" s="608" t="s">
        <v>152</v>
      </c>
      <c r="B2" s="518"/>
      <c r="C2" s="616"/>
      <c r="D2" s="616"/>
      <c r="E2" s="518"/>
      <c r="F2" s="609" t="str">
        <f>+Stammdaten!D2</f>
        <v>Version 1.8</v>
      </c>
    </row>
    <row r="3" spans="1:8" x14ac:dyDescent="0.35">
      <c r="A3" s="381">
        <f>+Stammdaten!B5</f>
        <v>0</v>
      </c>
      <c r="B3" s="302"/>
      <c r="C3" s="302">
        <f>+Stammdaten!B3</f>
        <v>0</v>
      </c>
      <c r="D3" s="302"/>
      <c r="E3" s="610" t="s">
        <v>40</v>
      </c>
      <c r="F3" s="611"/>
      <c r="H3" s="191"/>
    </row>
    <row r="4" spans="1:8" ht="15" thickBot="1" x14ac:dyDescent="0.4">
      <c r="A4" s="192"/>
      <c r="B4" s="115"/>
      <c r="C4" s="115"/>
      <c r="D4" s="115"/>
      <c r="E4" s="115"/>
      <c r="F4" s="193"/>
      <c r="H4" s="191"/>
    </row>
    <row r="5" spans="1:8" ht="74.25" customHeight="1" thickBot="1" x14ac:dyDescent="0.4">
      <c r="A5" s="1061" t="s">
        <v>338</v>
      </c>
      <c r="B5" s="1039"/>
      <c r="C5" s="1039"/>
      <c r="D5" s="1039"/>
      <c r="E5" s="1039"/>
      <c r="F5" s="1040"/>
      <c r="G5" s="121"/>
      <c r="H5" s="191"/>
    </row>
    <row r="6" spans="1:8" x14ac:dyDescent="0.35">
      <c r="A6" s="1081" t="s">
        <v>265</v>
      </c>
      <c r="B6" s="1090" t="s">
        <v>315</v>
      </c>
      <c r="C6" s="1071"/>
      <c r="D6" s="1072"/>
      <c r="E6" s="511"/>
      <c r="F6" s="517"/>
      <c r="G6" s="389" t="str">
        <f>+IF(AND(D6="x",D8="x"),"Bitte wählen Sie ENTWEDER Berechnung mit Ist-Kosten ODER die Verwendung des bisherigen IK-Satzes!","")</f>
        <v/>
      </c>
      <c r="H6" s="191"/>
    </row>
    <row r="7" spans="1:8" ht="15" thickBot="1" x14ac:dyDescent="0.4">
      <c r="A7" s="1082"/>
      <c r="B7" s="513"/>
      <c r="C7" s="508" t="s">
        <v>268</v>
      </c>
      <c r="D7" s="1073"/>
      <c r="E7" s="518"/>
      <c r="F7" s="519"/>
      <c r="G7" s="121"/>
      <c r="H7" s="191"/>
    </row>
    <row r="8" spans="1:8" ht="29.25" customHeight="1" x14ac:dyDescent="0.35">
      <c r="A8" s="1083"/>
      <c r="B8" s="1091" t="s">
        <v>267</v>
      </c>
      <c r="C8" s="1071"/>
      <c r="D8" s="1072"/>
      <c r="E8" s="544" t="str">
        <f>IF(D8="x","bisherigen IK-Satz","")</f>
        <v/>
      </c>
      <c r="F8" s="1088"/>
      <c r="G8" s="121"/>
      <c r="H8" s="191"/>
    </row>
    <row r="9" spans="1:8" ht="15" thickBot="1" x14ac:dyDescent="0.4">
      <c r="A9" s="1084"/>
      <c r="B9" s="513"/>
      <c r="C9" s="508" t="s">
        <v>269</v>
      </c>
      <c r="D9" s="1073"/>
      <c r="E9" s="545" t="str">
        <f>IF(D8="x","hier eintragen =&gt;","")</f>
        <v/>
      </c>
      <c r="F9" s="1089"/>
      <c r="G9" s="121"/>
      <c r="H9" s="191"/>
    </row>
    <row r="10" spans="1:8" ht="15" thickBot="1" x14ac:dyDescent="0.4">
      <c r="A10" s="192"/>
      <c r="B10" s="115"/>
      <c r="C10" s="115"/>
      <c r="D10" s="115"/>
      <c r="E10" s="115"/>
      <c r="F10" s="391" t="str">
        <f>IF(AND(D6="x",F8&gt;0),"Der bisherige IK-Satz ist nur einzutragen, wenn eine Berechnung auf dieser Basis erfolgen soll. Ggfs. bitte x in Feld D8 eintragen.","")</f>
        <v/>
      </c>
      <c r="G10" s="121"/>
      <c r="H10" s="191"/>
    </row>
    <row r="11" spans="1:8" ht="134.25" customHeight="1" thickBot="1" x14ac:dyDescent="0.4">
      <c r="A11" s="1080" t="s">
        <v>337</v>
      </c>
      <c r="B11" s="1039"/>
      <c r="C11" s="1039"/>
      <c r="D11" s="1039"/>
      <c r="E11" s="1039"/>
      <c r="F11" s="1040"/>
      <c r="G11" s="389" t="str">
        <f>+IF(AND(D8="x",D12="x"),"Achtung: diese Auswahl-Möglichkeit haben Sie nur bei Rechnung mit Ist-Kosten!","")</f>
        <v/>
      </c>
      <c r="H11" s="191"/>
    </row>
    <row r="12" spans="1:8" ht="44.25" customHeight="1" x14ac:dyDescent="0.35">
      <c r="A12" s="1081" t="s">
        <v>265</v>
      </c>
      <c r="B12" s="1070" t="s">
        <v>278</v>
      </c>
      <c r="C12" s="1071"/>
      <c r="D12" s="1085"/>
      <c r="E12" s="541" t="str">
        <f>+IF(D12="x","Anteil persönl.
Wohnfläche","")</f>
        <v/>
      </c>
      <c r="F12" s="542" t="str">
        <f>+IF(D12="x",'A Flächen'!E174,"")</f>
        <v/>
      </c>
      <c r="G12" s="389" t="str">
        <f>+IF(AND(D12="x",D14="x"),"Bitte wählen Sie ENTWEDER Kosten nur für Heimbereich ODER die Kosten für Gesamtgebäude inkl. freier Flächen!","")</f>
        <v/>
      </c>
      <c r="H12" s="191"/>
    </row>
    <row r="13" spans="1:8" ht="31.5" customHeight="1" thickBot="1" x14ac:dyDescent="0.4">
      <c r="A13" s="1082"/>
      <c r="B13" s="513"/>
      <c r="C13" s="508" t="s">
        <v>276</v>
      </c>
      <c r="D13" s="1086"/>
      <c r="E13" s="516" t="str">
        <f>+IF(D12="x","Anteil Fachleist.
Fläche","")</f>
        <v/>
      </c>
      <c r="F13" s="543" t="str">
        <f>+IF(D12="x",'A Flächen'!E175,"")</f>
        <v/>
      </c>
      <c r="G13" s="389" t="str">
        <f>+IF(AND(D12="",D14="",D6="x"),"Bitte wählen Sie ENTWEDER Kosten nur Heimbereich ODER Kosten für Gesamtgebäude inkl. freier Flächen!","")</f>
        <v/>
      </c>
      <c r="H13" s="191"/>
    </row>
    <row r="14" spans="1:8" ht="47.25" customHeight="1" x14ac:dyDescent="0.35">
      <c r="A14" s="1083"/>
      <c r="B14" s="1087" t="s">
        <v>279</v>
      </c>
      <c r="C14" s="1071"/>
      <c r="D14" s="1085"/>
      <c r="E14" s="541" t="str">
        <f>+IF(D14="x","Anteil persönl.
Wohnfläche","")</f>
        <v/>
      </c>
      <c r="F14" s="542" t="str">
        <f>+IF(D14="x",'A Flächen'!E169,"")</f>
        <v/>
      </c>
      <c r="G14" s="530"/>
      <c r="H14" s="191"/>
    </row>
    <row r="15" spans="1:8" ht="30.75" customHeight="1" thickBot="1" x14ac:dyDescent="0.4">
      <c r="A15" s="1084"/>
      <c r="B15" s="513"/>
      <c r="C15" s="508" t="s">
        <v>277</v>
      </c>
      <c r="D15" s="1086"/>
      <c r="E15" s="516" t="str">
        <f>+IF(D14="x","Anteil Fachleist.
Fläche","")</f>
        <v/>
      </c>
      <c r="F15" s="543" t="str">
        <f>+IF(D14="x",'A Flächen'!E170,"")</f>
        <v/>
      </c>
      <c r="G15" s="530"/>
      <c r="H15" s="191"/>
    </row>
    <row r="16" spans="1:8" ht="15" thickBot="1" x14ac:dyDescent="0.4">
      <c r="A16" s="192"/>
      <c r="B16" s="115"/>
      <c r="C16" s="115"/>
      <c r="D16" s="115"/>
      <c r="E16" s="115"/>
      <c r="F16" s="391"/>
      <c r="G16" s="389" t="str">
        <f>+IF(AND(D8="x",D14="x"),"Achtung: diese Auswahl-Möglichkeit haben Sie nur bei Rechnung mit Ist-Kosten!","")</f>
        <v/>
      </c>
      <c r="H16" s="191"/>
    </row>
    <row r="17" spans="1:9" ht="105" customHeight="1" thickBot="1" x14ac:dyDescent="0.4">
      <c r="A17" s="1061" t="s">
        <v>317</v>
      </c>
      <c r="B17" s="1039"/>
      <c r="C17" s="1039"/>
      <c r="D17" s="1039"/>
      <c r="E17" s="1039"/>
      <c r="F17" s="1040"/>
      <c r="G17" s="389"/>
      <c r="H17" s="191"/>
    </row>
    <row r="18" spans="1:9" ht="29.25" customHeight="1" x14ac:dyDescent="0.35">
      <c r="A18" s="1074" t="s">
        <v>265</v>
      </c>
      <c r="B18" s="1070" t="s">
        <v>314</v>
      </c>
      <c r="C18" s="1071"/>
      <c r="D18" s="1072"/>
      <c r="E18" s="1076" t="str">
        <f>+IF(D18="x","Bitte tragen Sie die gesamten AHK in Feld D26 ein.","")</f>
        <v/>
      </c>
      <c r="F18" s="1077"/>
      <c r="G18" s="389"/>
      <c r="H18" s="191"/>
    </row>
    <row r="19" spans="1:9" ht="15" thickBot="1" x14ac:dyDescent="0.4">
      <c r="A19" s="1075"/>
      <c r="B19" s="513"/>
      <c r="C19" s="508" t="s">
        <v>316</v>
      </c>
      <c r="D19" s="1073"/>
      <c r="E19" s="1078"/>
      <c r="F19" s="1079"/>
      <c r="G19" s="389"/>
      <c r="H19" s="191"/>
    </row>
    <row r="20" spans="1:9" x14ac:dyDescent="0.35">
      <c r="A20" s="192"/>
      <c r="B20" s="115"/>
      <c r="C20" s="115"/>
      <c r="D20" s="115"/>
      <c r="E20" s="115"/>
      <c r="F20" s="391"/>
      <c r="G20" s="389"/>
      <c r="H20" s="191"/>
    </row>
    <row r="21" spans="1:9" ht="21" x14ac:dyDescent="0.5">
      <c r="A21" s="194"/>
      <c r="B21" s="195"/>
      <c r="C21" s="196"/>
      <c r="D21" s="197"/>
      <c r="E21" s="115"/>
      <c r="F21" s="193"/>
      <c r="H21" s="198"/>
    </row>
    <row r="22" spans="1:9" ht="15.5" x14ac:dyDescent="0.35">
      <c r="A22" s="110"/>
      <c r="B22" s="812"/>
      <c r="C22" s="813"/>
      <c r="D22" s="32" t="s">
        <v>170</v>
      </c>
      <c r="E22" s="115"/>
      <c r="F22" s="193"/>
    </row>
    <row r="23" spans="1:9" x14ac:dyDescent="0.35">
      <c r="A23" s="814" t="s">
        <v>57</v>
      </c>
      <c r="B23" s="579"/>
      <c r="C23" s="579"/>
      <c r="D23" s="201"/>
      <c r="E23" s="115"/>
      <c r="F23" s="193"/>
    </row>
    <row r="24" spans="1:9" x14ac:dyDescent="0.35">
      <c r="A24" s="562" t="s">
        <v>58</v>
      </c>
      <c r="B24" s="1" t="s">
        <v>59</v>
      </c>
      <c r="C24" s="563"/>
      <c r="D24" s="202"/>
      <c r="E24" s="115"/>
      <c r="F24" s="203"/>
      <c r="H24" s="78"/>
      <c r="I24" s="78"/>
    </row>
    <row r="25" spans="1:9" x14ac:dyDescent="0.35">
      <c r="A25" s="31" t="str">
        <f>IF(D18="x","","Kostengruppe 200")</f>
        <v>Kostengruppe 200</v>
      </c>
      <c r="B25" s="3" t="str">
        <f>IF(D18="x","","Herrichten und Erschließen")</f>
        <v>Herrichten und Erschließen</v>
      </c>
      <c r="C25" s="7"/>
      <c r="D25" s="202"/>
      <c r="E25" s="115"/>
      <c r="F25" s="203"/>
      <c r="H25" s="78"/>
      <c r="I25" s="78"/>
    </row>
    <row r="26" spans="1:9" x14ac:dyDescent="0.35">
      <c r="A26" s="31" t="str">
        <f>IF(D18="x","Anschaffungskosten","Kostengruppe 300")</f>
        <v>Kostengruppe 300</v>
      </c>
      <c r="B26" s="37" t="str">
        <f>IF(D17="x","","Bauwerk - Baukonstruktion")</f>
        <v>Bauwerk - Baukonstruktion</v>
      </c>
      <c r="C26" s="7"/>
      <c r="D26" s="202"/>
      <c r="E26" s="115"/>
      <c r="F26" s="203"/>
      <c r="H26" s="78"/>
      <c r="I26" s="78"/>
    </row>
    <row r="27" spans="1:9" x14ac:dyDescent="0.35">
      <c r="A27" s="723" t="str">
        <f>IF(D18="x","","Kostengruppe 400")</f>
        <v>Kostengruppe 400</v>
      </c>
      <c r="B27" s="37" t="str">
        <f>IF(D18="x","","Bauwerk - Technische Anlagen")</f>
        <v>Bauwerk - Technische Anlagen</v>
      </c>
      <c r="C27" s="815"/>
      <c r="D27" s="202"/>
      <c r="E27" s="190"/>
      <c r="F27" s="203"/>
      <c r="H27" s="78"/>
      <c r="I27" s="78"/>
    </row>
    <row r="28" spans="1:9" x14ac:dyDescent="0.35">
      <c r="A28" s="723" t="str">
        <f>IF(D18="x","","Kostengruppe 500")</f>
        <v>Kostengruppe 500</v>
      </c>
      <c r="B28" s="37" t="str">
        <f>IF(D18="x","","Außenanlagen")</f>
        <v>Außenanlagen</v>
      </c>
      <c r="C28" s="815"/>
      <c r="D28" s="202"/>
      <c r="E28" s="190"/>
      <c r="F28" s="203"/>
      <c r="H28" s="78"/>
      <c r="I28" s="78"/>
    </row>
    <row r="29" spans="1:9" x14ac:dyDescent="0.35">
      <c r="A29" s="564" t="str">
        <f>IF(D18="x","","Kostengruppe 700")</f>
        <v>Kostengruppe 700</v>
      </c>
      <c r="B29" s="605" t="str">
        <f>IF(D18="x","","Baunebenkosten inkl. Bauherrenkosten")</f>
        <v>Baunebenkosten inkl. Bauherrenkosten</v>
      </c>
      <c r="C29" s="724"/>
      <c r="D29" s="202"/>
      <c r="E29" s="265" t="e">
        <f>+D29/(D26+D27+D28)</f>
        <v>#DIV/0!</v>
      </c>
      <c r="F29" s="203"/>
      <c r="G29" s="509" t="e">
        <f>+IF(E29&gt;22%,"KG 700 &gt; 22% der KG300-500. Bitte erläutern Sie die Höhe der Baunebenkosten auf einem Beiblatt.","")</f>
        <v>#DIV/0!</v>
      </c>
      <c r="H29" s="78"/>
      <c r="I29" s="78"/>
    </row>
    <row r="30" spans="1:9" ht="15.5" x14ac:dyDescent="0.35">
      <c r="A30" s="816" t="s">
        <v>68</v>
      </c>
      <c r="B30" s="817"/>
      <c r="C30" s="818"/>
      <c r="D30" s="264">
        <f>SUM(D24:D29)</f>
        <v>0</v>
      </c>
      <c r="E30" s="115"/>
      <c r="F30" s="193"/>
      <c r="H30" s="266" t="str">
        <f>IF(D6="x",D30-D24,"")</f>
        <v/>
      </c>
      <c r="I30" s="267" t="str">
        <f>IF(D6="x","ohne Grdstk","")</f>
        <v/>
      </c>
    </row>
    <row r="31" spans="1:9" ht="15.5" x14ac:dyDescent="0.35">
      <c r="A31" s="206"/>
      <c r="B31" s="199"/>
      <c r="C31" s="200"/>
      <c r="D31" s="207"/>
      <c r="E31" s="115"/>
      <c r="F31" s="193"/>
      <c r="H31" s="266" t="str">
        <f>IF(D6="x",H30/Stammdaten!B7,"")</f>
        <v/>
      </c>
      <c r="I31" s="108" t="str">
        <f>IF(D6="x","Baukosten pro Platz","")</f>
        <v/>
      </c>
    </row>
    <row r="32" spans="1:9" ht="15.5" x14ac:dyDescent="0.35">
      <c r="A32" s="816" t="s">
        <v>115</v>
      </c>
      <c r="B32" s="817"/>
      <c r="C32" s="818"/>
      <c r="D32" s="272"/>
      <c r="E32" s="115"/>
      <c r="F32" s="193"/>
      <c r="H32" s="78"/>
      <c r="I32" s="78"/>
    </row>
    <row r="33" spans="1:9" x14ac:dyDescent="0.35">
      <c r="A33" s="31"/>
      <c r="B33" s="3"/>
      <c r="C33" s="819"/>
      <c r="D33" s="820"/>
      <c r="E33" s="115"/>
      <c r="F33" s="193"/>
      <c r="H33" s="204"/>
    </row>
    <row r="34" spans="1:9" x14ac:dyDescent="0.35">
      <c r="A34" s="31" t="str">
        <f t="shared" ref="A34:B36" si="0">A26</f>
        <v>Kostengruppe 300</v>
      </c>
      <c r="B34" s="3" t="str">
        <f t="shared" si="0"/>
        <v>Bauwerk - Baukonstruktion</v>
      </c>
      <c r="C34" s="268">
        <f>IF(D26&gt;0,D34/(D34+D35+D36),0)</f>
        <v>0</v>
      </c>
      <c r="D34" s="269">
        <f>IF(D26&gt;0,D26+D29*(D26/(D26+D27+D28)),0)</f>
        <v>0</v>
      </c>
      <c r="E34" s="209"/>
      <c r="F34" s="193"/>
      <c r="H34" s="204"/>
      <c r="I34" s="78"/>
    </row>
    <row r="35" spans="1:9" x14ac:dyDescent="0.35">
      <c r="A35" s="31" t="str">
        <f t="shared" si="0"/>
        <v>Kostengruppe 400</v>
      </c>
      <c r="B35" s="37" t="str">
        <f t="shared" si="0"/>
        <v>Bauwerk - Technische Anlagen</v>
      </c>
      <c r="C35" s="268">
        <f>IF(D27&gt;0,D35/(D34+D35+D36),0)</f>
        <v>0</v>
      </c>
      <c r="D35" s="269">
        <f>IF(D27&gt;0,D27+D29*(D27/(D26+D27+D28)),0)</f>
        <v>0</v>
      </c>
      <c r="E35" s="190"/>
      <c r="F35" s="193"/>
      <c r="H35" s="78"/>
      <c r="I35" s="78"/>
    </row>
    <row r="36" spans="1:9" x14ac:dyDescent="0.35">
      <c r="A36" s="31" t="str">
        <f t="shared" si="0"/>
        <v>Kostengruppe 500</v>
      </c>
      <c r="B36" s="37" t="str">
        <f t="shared" si="0"/>
        <v>Außenanlagen</v>
      </c>
      <c r="C36" s="268">
        <f>IF(D28&gt;0,D36/(D34+D35+D36),0)</f>
        <v>0</v>
      </c>
      <c r="D36" s="270">
        <f>IF(D28&gt;0,D28+D29*(D28/(D26+D27+D28)),0)</f>
        <v>0</v>
      </c>
      <c r="E36" s="190"/>
      <c r="F36" s="193"/>
      <c r="H36" s="78"/>
      <c r="I36" s="78"/>
    </row>
    <row r="37" spans="1:9" ht="15.5" x14ac:dyDescent="0.35">
      <c r="A37" s="816" t="s">
        <v>122</v>
      </c>
      <c r="B37" s="817"/>
      <c r="C37" s="271">
        <f>SUM(C33:C36)-C33</f>
        <v>0</v>
      </c>
      <c r="D37" s="272">
        <f>SUM(D33:D36)</f>
        <v>0</v>
      </c>
      <c r="E37" s="115"/>
      <c r="F37" s="193"/>
      <c r="H37" s="109" t="str">
        <f>IF(D6="x","Kontrolle","")</f>
        <v/>
      </c>
      <c r="I37" s="162" t="str">
        <f>IF(D6="x",D26+D27+D28+D29-D37,"")</f>
        <v/>
      </c>
    </row>
    <row r="38" spans="1:9" ht="15.5" x14ac:dyDescent="0.35">
      <c r="A38" s="210"/>
      <c r="B38" s="211"/>
      <c r="C38" s="212"/>
      <c r="D38" s="213"/>
      <c r="E38" s="115"/>
      <c r="F38" s="203"/>
      <c r="H38" s="84"/>
      <c r="I38" s="78"/>
    </row>
    <row r="39" spans="1:9" ht="15.5" x14ac:dyDescent="0.35">
      <c r="A39" s="816" t="s">
        <v>69</v>
      </c>
      <c r="B39" s="817"/>
      <c r="C39" s="818"/>
      <c r="D39" s="272"/>
      <c r="E39" s="115"/>
      <c r="F39" s="203"/>
      <c r="H39" s="78"/>
      <c r="I39" s="78"/>
    </row>
    <row r="40" spans="1:9" x14ac:dyDescent="0.35">
      <c r="A40" s="31" t="str">
        <f>A25</f>
        <v>Kostengruppe 200</v>
      </c>
      <c r="B40" s="3" t="str">
        <f>B25</f>
        <v>Herrichten und Erschließen</v>
      </c>
      <c r="C40" s="819"/>
      <c r="D40" s="269"/>
      <c r="E40" s="115"/>
      <c r="F40" s="203"/>
      <c r="H40" s="78"/>
      <c r="I40" s="78"/>
    </row>
    <row r="41" spans="1:9" x14ac:dyDescent="0.35">
      <c r="A41" s="31" t="str">
        <f>A34</f>
        <v>Kostengruppe 300</v>
      </c>
      <c r="B41" s="3" t="str">
        <f>B26</f>
        <v>Bauwerk - Baukonstruktion</v>
      </c>
      <c r="C41" s="268">
        <f>C34</f>
        <v>0</v>
      </c>
      <c r="D41" s="273">
        <f>+C41*D44</f>
        <v>0</v>
      </c>
      <c r="E41" s="209"/>
      <c r="F41" s="214"/>
      <c r="H41" s="205"/>
      <c r="I41" s="78"/>
    </row>
    <row r="42" spans="1:9" x14ac:dyDescent="0.35">
      <c r="A42" s="723" t="str">
        <f>A35</f>
        <v>Kostengruppe 400</v>
      </c>
      <c r="B42" s="3" t="str">
        <f>B27</f>
        <v>Bauwerk - Technische Anlagen</v>
      </c>
      <c r="C42" s="268">
        <f>C35</f>
        <v>0</v>
      </c>
      <c r="D42" s="273">
        <f>+C42*$D$44</f>
        <v>0</v>
      </c>
      <c r="E42" s="190"/>
      <c r="F42" s="214"/>
      <c r="H42" s="205"/>
      <c r="I42" s="78"/>
    </row>
    <row r="43" spans="1:9" x14ac:dyDescent="0.35">
      <c r="A43" s="723" t="str">
        <f>A36</f>
        <v>Kostengruppe 500</v>
      </c>
      <c r="B43" s="3" t="str">
        <f>B28</f>
        <v>Außenanlagen</v>
      </c>
      <c r="C43" s="268">
        <f>C36</f>
        <v>0</v>
      </c>
      <c r="D43" s="273">
        <f>+C43*$D$44</f>
        <v>0</v>
      </c>
      <c r="E43" s="190"/>
      <c r="F43" s="214"/>
      <c r="H43" s="205"/>
      <c r="I43" s="78"/>
    </row>
    <row r="44" spans="1:9" ht="15.5" x14ac:dyDescent="0.35">
      <c r="A44" s="816" t="s">
        <v>70</v>
      </c>
      <c r="B44" s="817"/>
      <c r="C44" s="274">
        <f>SUM(C40:C43)-C41</f>
        <v>0</v>
      </c>
      <c r="D44" s="272">
        <f>+B77</f>
        <v>0</v>
      </c>
      <c r="E44" s="115"/>
      <c r="F44" s="215"/>
      <c r="H44" s="216"/>
      <c r="I44" s="78"/>
    </row>
    <row r="45" spans="1:9" x14ac:dyDescent="0.35">
      <c r="A45" s="217"/>
      <c r="B45" s="116"/>
      <c r="C45" s="218"/>
      <c r="D45" s="219"/>
      <c r="E45" s="115"/>
      <c r="F45" s="193"/>
    </row>
    <row r="46" spans="1:9" ht="15.5" x14ac:dyDescent="0.35">
      <c r="A46" s="821" t="s">
        <v>71</v>
      </c>
      <c r="B46" s="817"/>
      <c r="C46" s="818"/>
      <c r="D46" s="822"/>
      <c r="E46" s="115"/>
      <c r="F46" s="193"/>
    </row>
    <row r="47" spans="1:9" x14ac:dyDescent="0.35">
      <c r="A47" s="31" t="str">
        <f t="shared" ref="A47:A50" si="1">A40</f>
        <v>Kostengruppe 200</v>
      </c>
      <c r="B47" s="3" t="str">
        <f>B25</f>
        <v>Herrichten und Erschließen</v>
      </c>
      <c r="C47" s="268">
        <f>+IF(Stammdaten!B8=0,2%,IF(Stammdaten!B8&lt;2005,2.45%,IF(AND(Stammdaten!B8&gt;=2005,D18="x"),3.33%,2%)))</f>
        <v>0.02</v>
      </c>
      <c r="D47" s="269">
        <f>(D25-D40)*C47</f>
        <v>0</v>
      </c>
      <c r="E47" s="390" t="str">
        <f>+IF(Stammdaten!B8="","Bitte Stammdaten Feld B8 ausfüllen!","")</f>
        <v>Bitte Stammdaten Feld B8 ausfüllen!</v>
      </c>
      <c r="F47" s="193"/>
    </row>
    <row r="48" spans="1:9" x14ac:dyDescent="0.35">
      <c r="A48" s="31" t="str">
        <f t="shared" si="1"/>
        <v>Kostengruppe 300</v>
      </c>
      <c r="B48" s="3" t="str">
        <f t="shared" ref="B48:B50" si="2">B26</f>
        <v>Bauwerk - Baukonstruktion</v>
      </c>
      <c r="C48" s="268">
        <f>+IF(Stammdaten!B8=0,2%,IF(Stammdaten!B8&lt;2005,2.45%,IF(AND(Stammdaten!B8&gt;=2005,D18="x"),3.33%,2%)))</f>
        <v>0.02</v>
      </c>
      <c r="D48" s="269">
        <f>(D34-D41)*C48</f>
        <v>0</v>
      </c>
      <c r="E48" s="390" t="str">
        <f>+IF(Stammdaten!B8="","Bitte Stammdaten Feld B8 ausfüllen!","")</f>
        <v>Bitte Stammdaten Feld B8 ausfüllen!</v>
      </c>
      <c r="F48" s="193"/>
    </row>
    <row r="49" spans="1:8" x14ac:dyDescent="0.35">
      <c r="A49" s="723" t="str">
        <f t="shared" si="1"/>
        <v>Kostengruppe 400</v>
      </c>
      <c r="B49" s="3" t="str">
        <f t="shared" si="2"/>
        <v>Bauwerk - Technische Anlagen</v>
      </c>
      <c r="C49" s="268">
        <f>+IF(Stammdaten!B8=0,6.67%,IF(Stammdaten!B8&lt;2005,2.45%,IF(AND(Stammdaten!B8&gt;=2005,D18="x"),3.33%,6.67%)))</f>
        <v>6.6699999999999995E-2</v>
      </c>
      <c r="D49" s="269">
        <f>(D35-D42)*C49</f>
        <v>0</v>
      </c>
      <c r="E49" s="390" t="str">
        <f>+IF(Stammdaten!B8="","Bitte Stammdaten Feld B8 ausfüllen!","")</f>
        <v>Bitte Stammdaten Feld B8 ausfüllen!</v>
      </c>
      <c r="F49" s="220"/>
      <c r="G49" s="137"/>
      <c r="H49" s="221"/>
    </row>
    <row r="50" spans="1:8" x14ac:dyDescent="0.35">
      <c r="A50" s="723" t="str">
        <f t="shared" si="1"/>
        <v>Kostengruppe 500</v>
      </c>
      <c r="B50" s="3" t="str">
        <f t="shared" si="2"/>
        <v>Außenanlagen</v>
      </c>
      <c r="C50" s="268">
        <f>+IF(Stammdaten!B8=0,4%,IF(Stammdaten!B8&lt;2005,2.45%,IF(AND(Stammdaten!B8&gt;=2005,D18="x"),3.33%,4%)))</f>
        <v>0.04</v>
      </c>
      <c r="D50" s="269">
        <f>(D36-D43)*C50</f>
        <v>0</v>
      </c>
      <c r="E50" s="390" t="str">
        <f>+IF(Stammdaten!B8="","Bitte Stammdaten Feld B8 ausfüllen!","")</f>
        <v>Bitte Stammdaten Feld B8 ausfüllen!</v>
      </c>
      <c r="F50" s="222"/>
      <c r="H50" s="221"/>
    </row>
    <row r="51" spans="1:8" x14ac:dyDescent="0.35">
      <c r="A51" s="814" t="s">
        <v>72</v>
      </c>
      <c r="B51" s="579"/>
      <c r="C51" s="818"/>
      <c r="D51" s="272">
        <f>SUM(D47:D50)</f>
        <v>0</v>
      </c>
      <c r="E51" s="115"/>
      <c r="F51" s="193"/>
    </row>
    <row r="52" spans="1:8" ht="15.5" x14ac:dyDescent="0.35">
      <c r="A52" s="816" t="s">
        <v>73</v>
      </c>
      <c r="B52" s="817"/>
      <c r="C52" s="818"/>
      <c r="D52" s="272">
        <f>SUM(D47:D50)</f>
        <v>0</v>
      </c>
      <c r="E52" s="115"/>
      <c r="F52" s="193"/>
    </row>
    <row r="53" spans="1:8" x14ac:dyDescent="0.35">
      <c r="A53" s="64"/>
      <c r="B53" s="115"/>
      <c r="C53" s="190"/>
      <c r="D53" s="223"/>
      <c r="E53" s="115"/>
      <c r="F53" s="193"/>
    </row>
    <row r="54" spans="1:8" x14ac:dyDescent="0.35">
      <c r="A54" s="825" t="s">
        <v>74</v>
      </c>
      <c r="B54" s="74"/>
      <c r="C54" s="190"/>
      <c r="D54" s="223"/>
      <c r="E54" s="115"/>
      <c r="F54" s="193"/>
    </row>
    <row r="55" spans="1:8" x14ac:dyDescent="0.35">
      <c r="A55" s="64"/>
      <c r="B55" s="823" t="s">
        <v>328</v>
      </c>
      <c r="C55" s="291"/>
      <c r="D55" s="269">
        <f>SUM(D47:D50)</f>
        <v>0</v>
      </c>
      <c r="E55" s="115"/>
      <c r="F55" s="193"/>
    </row>
    <row r="56" spans="1:8" x14ac:dyDescent="0.35">
      <c r="A56" s="64"/>
      <c r="B56" s="823" t="s">
        <v>75</v>
      </c>
      <c r="C56" s="291"/>
      <c r="D56" s="269">
        <f>SUM(D25:D29)-SUM(D40:D43)</f>
        <v>0</v>
      </c>
      <c r="E56" s="115"/>
      <c r="F56" s="193"/>
    </row>
    <row r="57" spans="1:8" x14ac:dyDescent="0.35">
      <c r="A57" s="64"/>
      <c r="B57" s="104" t="s">
        <v>76</v>
      </c>
      <c r="C57" s="824"/>
      <c r="D57" s="277" t="e">
        <f>D55/D56</f>
        <v>#DIV/0!</v>
      </c>
      <c r="E57" s="115"/>
      <c r="F57" s="193"/>
    </row>
    <row r="58" spans="1:8" x14ac:dyDescent="0.35">
      <c r="A58" s="64"/>
      <c r="B58" s="115"/>
      <c r="C58" s="190"/>
      <c r="D58" s="224"/>
      <c r="E58" s="115"/>
      <c r="F58" s="193"/>
    </row>
    <row r="59" spans="1:8" ht="15.5" x14ac:dyDescent="0.35">
      <c r="A59" s="821" t="s">
        <v>78</v>
      </c>
      <c r="B59" s="817"/>
      <c r="C59" s="818"/>
      <c r="D59" s="272"/>
      <c r="E59" s="115"/>
      <c r="F59" s="609" t="s">
        <v>335</v>
      </c>
    </row>
    <row r="60" spans="1:8" x14ac:dyDescent="0.35">
      <c r="A60" s="291"/>
      <c r="B60" s="565" t="s">
        <v>79</v>
      </c>
      <c r="C60" s="686"/>
      <c r="D60" s="269">
        <f>IF(F62&gt;0,F62,D30-D24)</f>
        <v>0</v>
      </c>
      <c r="E60" s="115"/>
      <c r="F60" s="915" t="s">
        <v>334</v>
      </c>
    </row>
    <row r="61" spans="1:8" x14ac:dyDescent="0.35">
      <c r="A61" s="920" t="s">
        <v>77</v>
      </c>
      <c r="B61" s="565" t="s">
        <v>80</v>
      </c>
      <c r="C61" s="921"/>
      <c r="D61" s="345">
        <f>IF(F67&gt;0,F67,0.8%)</f>
        <v>8.0000000000000002E-3</v>
      </c>
      <c r="E61" s="115"/>
      <c r="F61" s="915" t="s">
        <v>332</v>
      </c>
    </row>
    <row r="62" spans="1:8" ht="15.5" x14ac:dyDescent="0.35">
      <c r="A62" s="816" t="s">
        <v>81</v>
      </c>
      <c r="B62" s="817"/>
      <c r="C62" s="818"/>
      <c r="D62" s="272">
        <f>D60*D61</f>
        <v>0</v>
      </c>
      <c r="E62" s="115"/>
      <c r="F62" s="228"/>
    </row>
    <row r="63" spans="1:8" x14ac:dyDescent="0.35">
      <c r="A63" s="64"/>
      <c r="B63" s="115"/>
      <c r="C63" s="190"/>
      <c r="D63" s="224"/>
      <c r="E63" s="115"/>
      <c r="F63" s="193"/>
    </row>
    <row r="64" spans="1:8" ht="15.5" x14ac:dyDescent="0.35">
      <c r="A64" s="821" t="s">
        <v>340</v>
      </c>
      <c r="B64" s="817"/>
      <c r="C64" s="818"/>
      <c r="D64" s="272"/>
      <c r="E64" s="115"/>
      <c r="F64" s="609" t="s">
        <v>335</v>
      </c>
    </row>
    <row r="65" spans="1:6" x14ac:dyDescent="0.35">
      <c r="A65" s="225" t="s">
        <v>82</v>
      </c>
      <c r="B65" s="226"/>
      <c r="C65" s="227"/>
      <c r="D65" s="228"/>
      <c r="E65" s="115"/>
      <c r="F65" s="915" t="s">
        <v>331</v>
      </c>
    </row>
    <row r="66" spans="1:6" x14ac:dyDescent="0.35">
      <c r="A66" s="225" t="s">
        <v>83</v>
      </c>
      <c r="B66" s="226"/>
      <c r="C66" s="227"/>
      <c r="D66" s="228"/>
      <c r="E66" s="115"/>
      <c r="F66" s="915" t="s">
        <v>333</v>
      </c>
    </row>
    <row r="67" spans="1:6" x14ac:dyDescent="0.35">
      <c r="A67" s="225" t="s">
        <v>84</v>
      </c>
      <c r="B67" s="226"/>
      <c r="C67" s="229"/>
      <c r="D67" s="228"/>
      <c r="E67" s="115"/>
      <c r="F67" s="914"/>
    </row>
    <row r="68" spans="1:6" ht="15.5" x14ac:dyDescent="0.35">
      <c r="A68" s="821" t="s">
        <v>86</v>
      </c>
      <c r="B68" s="817"/>
      <c r="C68" s="818"/>
      <c r="D68" s="272">
        <f>+SUM(D65:D67)</f>
        <v>0</v>
      </c>
      <c r="E68" s="115"/>
      <c r="F68" s="193"/>
    </row>
    <row r="69" spans="1:6" x14ac:dyDescent="0.35">
      <c r="A69" s="64"/>
      <c r="B69" s="115"/>
      <c r="C69" s="190"/>
      <c r="D69" s="224"/>
      <c r="E69" s="115"/>
      <c r="F69" s="193"/>
    </row>
    <row r="70" spans="1:6" x14ac:dyDescent="0.35">
      <c r="A70" s="64"/>
      <c r="B70" s="115"/>
      <c r="C70" s="190"/>
      <c r="D70" s="224"/>
      <c r="E70" s="115"/>
      <c r="F70" s="193"/>
    </row>
    <row r="71" spans="1:6" ht="15.5" x14ac:dyDescent="0.35">
      <c r="A71" s="821" t="s">
        <v>87</v>
      </c>
      <c r="B71" s="817"/>
      <c r="C71" s="818"/>
      <c r="D71" s="830"/>
      <c r="E71" s="115"/>
      <c r="F71" s="193"/>
    </row>
    <row r="72" spans="1:6" x14ac:dyDescent="0.35">
      <c r="A72" s="561" t="s">
        <v>70</v>
      </c>
      <c r="B72" s="32" t="s">
        <v>173</v>
      </c>
      <c r="C72" s="232"/>
      <c r="D72" s="233"/>
      <c r="E72" s="115"/>
      <c r="F72" s="234"/>
    </row>
    <row r="73" spans="1:6" x14ac:dyDescent="0.35">
      <c r="A73" s="235" t="s">
        <v>82</v>
      </c>
      <c r="B73" s="236"/>
      <c r="C73" s="237"/>
      <c r="D73" s="238"/>
      <c r="E73" s="115"/>
      <c r="F73" s="239"/>
    </row>
    <row r="74" spans="1:6" x14ac:dyDescent="0.35">
      <c r="A74" s="235" t="s">
        <v>83</v>
      </c>
      <c r="B74" s="236"/>
      <c r="C74" s="237"/>
      <c r="D74" s="238"/>
      <c r="E74" s="115"/>
      <c r="F74" s="193"/>
    </row>
    <row r="75" spans="1:6" x14ac:dyDescent="0.35">
      <c r="A75" s="235" t="s">
        <v>84</v>
      </c>
      <c r="B75" s="236"/>
      <c r="C75" s="237"/>
      <c r="D75" s="238"/>
      <c r="E75" s="115"/>
      <c r="F75" s="193"/>
    </row>
    <row r="76" spans="1:6" x14ac:dyDescent="0.35">
      <c r="A76" s="235" t="s">
        <v>96</v>
      </c>
      <c r="B76" s="236"/>
      <c r="C76" s="240"/>
      <c r="D76" s="238"/>
      <c r="E76" s="115"/>
      <c r="F76" s="193"/>
    </row>
    <row r="77" spans="1:6" x14ac:dyDescent="0.35">
      <c r="A77" s="578" t="s">
        <v>70</v>
      </c>
      <c r="B77" s="280">
        <f>SUM(B73:B76)</f>
        <v>0</v>
      </c>
      <c r="C77" s="237"/>
      <c r="D77" s="238"/>
      <c r="E77" s="115"/>
      <c r="F77" s="193"/>
    </row>
    <row r="78" spans="1:6" x14ac:dyDescent="0.35">
      <c r="A78" s="64"/>
      <c r="B78" s="241"/>
      <c r="C78" s="190"/>
      <c r="D78" s="242"/>
      <c r="E78" s="115"/>
      <c r="F78" s="193"/>
    </row>
    <row r="79" spans="1:6" x14ac:dyDescent="0.35">
      <c r="A79" s="561" t="s">
        <v>88</v>
      </c>
      <c r="B79" s="32" t="s">
        <v>173</v>
      </c>
      <c r="C79" s="32" t="s">
        <v>167</v>
      </c>
      <c r="D79" s="233"/>
      <c r="E79" s="115"/>
      <c r="F79" s="193"/>
    </row>
    <row r="80" spans="1:6" x14ac:dyDescent="0.35">
      <c r="A80" s="243" t="s">
        <v>94</v>
      </c>
      <c r="B80" s="202"/>
      <c r="C80" s="922"/>
      <c r="D80" s="284">
        <f>B80*C80</f>
        <v>0</v>
      </c>
      <c r="E80" s="115"/>
      <c r="F80" s="193"/>
    </row>
    <row r="81" spans="1:9" x14ac:dyDescent="0.35">
      <c r="A81" s="243" t="s">
        <v>95</v>
      </c>
      <c r="B81" s="202"/>
      <c r="C81" s="922"/>
      <c r="D81" s="284">
        <f>B81*C81</f>
        <v>0</v>
      </c>
      <c r="E81" s="115"/>
      <c r="F81" s="193"/>
    </row>
    <row r="82" spans="1:9" x14ac:dyDescent="0.35">
      <c r="A82" s="243" t="s">
        <v>162</v>
      </c>
      <c r="B82" s="236"/>
      <c r="C82" s="922"/>
      <c r="D82" s="284">
        <f>B82*C82</f>
        <v>0</v>
      </c>
      <c r="E82" s="115"/>
      <c r="F82" s="193"/>
    </row>
    <row r="83" spans="1:9" x14ac:dyDescent="0.35">
      <c r="A83" s="832" t="s">
        <v>59</v>
      </c>
      <c r="B83" s="281">
        <f>+D24</f>
        <v>0</v>
      </c>
      <c r="C83" s="922"/>
      <c r="D83" s="284">
        <f>B83*C83</f>
        <v>0</v>
      </c>
      <c r="E83" s="115"/>
      <c r="F83" s="193"/>
    </row>
    <row r="84" spans="1:9" x14ac:dyDescent="0.35">
      <c r="A84" s="578" t="s">
        <v>89</v>
      </c>
      <c r="B84" s="280">
        <f>SUM(B80:B83)</f>
        <v>0</v>
      </c>
      <c r="C84" s="923"/>
      <c r="D84" s="285">
        <f>SUM(D80:D83)</f>
        <v>0</v>
      </c>
      <c r="E84" s="115"/>
      <c r="F84" s="193"/>
    </row>
    <row r="85" spans="1:9" x14ac:dyDescent="0.35">
      <c r="A85" s="64"/>
      <c r="B85" s="115"/>
      <c r="C85" s="115"/>
      <c r="D85" s="223"/>
      <c r="E85" s="115"/>
      <c r="F85" s="193"/>
    </row>
    <row r="86" spans="1:9" x14ac:dyDescent="0.35">
      <c r="A86" s="561" t="s">
        <v>90</v>
      </c>
      <c r="B86" s="32" t="s">
        <v>173</v>
      </c>
      <c r="C86" s="32" t="s">
        <v>167</v>
      </c>
      <c r="D86" s="245"/>
      <c r="E86" s="115"/>
      <c r="F86" s="193"/>
    </row>
    <row r="87" spans="1:9" x14ac:dyDescent="0.35">
      <c r="A87" s="833" t="s">
        <v>90</v>
      </c>
      <c r="B87" s="286">
        <f>+D30-B77-B84-B88-B89-B90</f>
        <v>0</v>
      </c>
      <c r="C87" s="922">
        <v>1.4999999999999999E-2</v>
      </c>
      <c r="D87" s="287">
        <f>B87*C87</f>
        <v>0</v>
      </c>
      <c r="E87" s="115"/>
      <c r="F87" s="193"/>
      <c r="G87" s="137"/>
    </row>
    <row r="88" spans="1:9" x14ac:dyDescent="0.35">
      <c r="A88" s="235" t="s">
        <v>93</v>
      </c>
      <c r="B88" s="236"/>
      <c r="C88" s="350">
        <v>0</v>
      </c>
      <c r="D88" s="287">
        <f>B88*C88</f>
        <v>0</v>
      </c>
      <c r="E88" s="115"/>
      <c r="F88" s="193"/>
    </row>
    <row r="89" spans="1:9" x14ac:dyDescent="0.35">
      <c r="A89" s="235" t="s">
        <v>84</v>
      </c>
      <c r="B89" s="236"/>
      <c r="C89" s="922">
        <f>+C87</f>
        <v>1.4999999999999999E-2</v>
      </c>
      <c r="D89" s="287">
        <f>B89*C89</f>
        <v>0</v>
      </c>
      <c r="E89" s="115"/>
      <c r="F89" s="193"/>
      <c r="G89" s="137"/>
    </row>
    <row r="90" spans="1:9" x14ac:dyDescent="0.35">
      <c r="A90" s="243" t="s">
        <v>96</v>
      </c>
      <c r="B90" s="236"/>
      <c r="C90" s="922">
        <f>+C87</f>
        <v>1.4999999999999999E-2</v>
      </c>
      <c r="D90" s="287">
        <f>B90*C90</f>
        <v>0</v>
      </c>
      <c r="E90" s="115"/>
      <c r="F90" s="193"/>
      <c r="G90" s="137"/>
    </row>
    <row r="91" spans="1:9" x14ac:dyDescent="0.35">
      <c r="A91" s="578" t="s">
        <v>91</v>
      </c>
      <c r="B91" s="280">
        <f>SUM(B87:B90)</f>
        <v>0</v>
      </c>
      <c r="C91" s="834"/>
      <c r="D91" s="288">
        <f>SUM(D87:D90)</f>
        <v>0</v>
      </c>
      <c r="E91" s="115"/>
      <c r="F91" s="193"/>
    </row>
    <row r="92" spans="1:9" x14ac:dyDescent="0.35">
      <c r="A92" s="246"/>
      <c r="B92" s="247"/>
      <c r="C92" s="248"/>
      <c r="D92" s="249"/>
      <c r="E92" s="115"/>
      <c r="F92" s="193"/>
      <c r="H92" s="250"/>
    </row>
    <row r="93" spans="1:9" ht="15.5" x14ac:dyDescent="0.35">
      <c r="A93" s="816" t="s">
        <v>92</v>
      </c>
      <c r="B93" s="289">
        <f>+B77+B84+B91</f>
        <v>0</v>
      </c>
      <c r="C93" s="579"/>
      <c r="D93" s="264">
        <f>D91+D84</f>
        <v>0</v>
      </c>
      <c r="E93" s="251"/>
      <c r="F93" s="193"/>
      <c r="H93" s="109" t="str">
        <f>IF(D6="x","Kontrolle","")</f>
        <v/>
      </c>
      <c r="I93" s="162" t="str">
        <f>IF(D6="x",B93-D30,"")</f>
        <v/>
      </c>
    </row>
    <row r="94" spans="1:9" x14ac:dyDescent="0.35">
      <c r="A94" s="64"/>
      <c r="B94" s="115"/>
      <c r="C94" s="190"/>
      <c r="D94" s="224"/>
      <c r="E94" s="115"/>
      <c r="F94" s="193"/>
    </row>
    <row r="95" spans="1:9" ht="15.5" x14ac:dyDescent="0.35">
      <c r="A95" s="816" t="s">
        <v>11</v>
      </c>
      <c r="B95" s="289"/>
      <c r="C95" s="818"/>
      <c r="D95" s="830"/>
      <c r="E95" s="115"/>
      <c r="F95" s="193"/>
    </row>
    <row r="96" spans="1:9" x14ac:dyDescent="0.35">
      <c r="A96" s="564" t="s">
        <v>329</v>
      </c>
      <c r="B96" s="677"/>
      <c r="C96" s="677"/>
      <c r="D96" s="270">
        <f>+D52</f>
        <v>0</v>
      </c>
      <c r="E96" s="115"/>
      <c r="F96" s="193"/>
    </row>
    <row r="97" spans="1:6" x14ac:dyDescent="0.35">
      <c r="A97" s="565" t="s">
        <v>14</v>
      </c>
      <c r="B97" s="302"/>
      <c r="C97" s="302"/>
      <c r="D97" s="269">
        <f>+D62</f>
        <v>0</v>
      </c>
      <c r="E97" s="115"/>
      <c r="F97" s="193"/>
    </row>
    <row r="98" spans="1:6" x14ac:dyDescent="0.35">
      <c r="A98" s="565" t="s">
        <v>9</v>
      </c>
      <c r="B98" s="302"/>
      <c r="C98" s="302"/>
      <c r="D98" s="269">
        <f>+D68</f>
        <v>0</v>
      </c>
      <c r="E98" s="115"/>
      <c r="F98" s="193"/>
    </row>
    <row r="99" spans="1:6" x14ac:dyDescent="0.35">
      <c r="A99" s="565" t="s">
        <v>15</v>
      </c>
      <c r="B99" s="302"/>
      <c r="C99" s="302"/>
      <c r="D99" s="269">
        <f>+D93</f>
        <v>0</v>
      </c>
      <c r="E99" s="115"/>
      <c r="F99" s="193"/>
    </row>
    <row r="100" spans="1:6" x14ac:dyDescent="0.35">
      <c r="A100" s="814" t="s">
        <v>10</v>
      </c>
      <c r="B100" s="793"/>
      <c r="C100" s="793"/>
      <c r="D100" s="290">
        <f>SUM(D96:D99)</f>
        <v>0</v>
      </c>
      <c r="E100" s="115"/>
      <c r="F100" s="193"/>
    </row>
    <row r="101" spans="1:6" x14ac:dyDescent="0.35">
      <c r="A101" s="64"/>
      <c r="B101" s="115"/>
      <c r="C101" s="190"/>
      <c r="D101" s="242"/>
      <c r="E101" s="115"/>
      <c r="F101" s="193"/>
    </row>
    <row r="102" spans="1:6" x14ac:dyDescent="0.35">
      <c r="A102" s="291" t="s">
        <v>16</v>
      </c>
      <c r="B102" s="291">
        <v>365</v>
      </c>
      <c r="C102" s="190"/>
      <c r="D102" s="242"/>
      <c r="E102" s="115"/>
      <c r="F102" s="193"/>
    </row>
    <row r="103" spans="1:6" x14ac:dyDescent="0.35">
      <c r="A103" s="291" t="s">
        <v>17</v>
      </c>
      <c r="B103" s="292">
        <f>+Stammdaten!B7</f>
        <v>0</v>
      </c>
      <c r="C103" s="253"/>
      <c r="D103" s="242"/>
      <c r="E103" s="115"/>
      <c r="F103" s="193"/>
    </row>
    <row r="104" spans="1:6" x14ac:dyDescent="0.35">
      <c r="A104" s="680" t="s">
        <v>18</v>
      </c>
      <c r="B104" s="924">
        <v>0.96499999999999997</v>
      </c>
      <c r="C104" s="190"/>
      <c r="D104" s="242"/>
      <c r="E104" s="115"/>
      <c r="F104" s="193"/>
    </row>
    <row r="105" spans="1:6" ht="29.5" thickBot="1" x14ac:dyDescent="0.4">
      <c r="A105" s="835" t="s">
        <v>19</v>
      </c>
      <c r="B105" s="293">
        <f>B104*B103*B102</f>
        <v>0</v>
      </c>
      <c r="C105" s="253"/>
      <c r="D105" s="242"/>
      <c r="E105" s="836" t="s">
        <v>21</v>
      </c>
      <c r="F105" s="836" t="s">
        <v>20</v>
      </c>
    </row>
    <row r="106" spans="1:6" ht="15.75" customHeight="1" thickTop="1" thickBot="1" x14ac:dyDescent="0.4">
      <c r="A106" s="64"/>
      <c r="B106" s="115"/>
      <c r="C106" s="190"/>
      <c r="D106" s="242"/>
      <c r="E106" s="837" t="s">
        <v>101</v>
      </c>
      <c r="F106" s="837" t="s">
        <v>101</v>
      </c>
    </row>
    <row r="107" spans="1:6" ht="19" thickBot="1" x14ac:dyDescent="0.5">
      <c r="A107" s="816" t="s">
        <v>224</v>
      </c>
      <c r="B107" s="289"/>
      <c r="C107" s="818"/>
      <c r="D107" s="830"/>
      <c r="E107" s="294" t="e">
        <f>+IF(D14="x",'A Flächen'!E169,'A Flächen'!E174)</f>
        <v>#DIV/0!</v>
      </c>
      <c r="F107" s="294" t="e">
        <f>+IF(D14="x",'A Flächen'!E170,'A Flächen'!E175)</f>
        <v>#DIV/0!</v>
      </c>
    </row>
    <row r="108" spans="1:6" x14ac:dyDescent="0.35">
      <c r="A108" s="838" t="s">
        <v>12</v>
      </c>
      <c r="B108" s="839"/>
      <c r="C108" s="839"/>
      <c r="D108" s="295" t="e">
        <f>D96/$B$105</f>
        <v>#DIV/0!</v>
      </c>
      <c r="E108" s="255"/>
      <c r="F108" s="256"/>
    </row>
    <row r="109" spans="1:6" x14ac:dyDescent="0.35">
      <c r="A109" s="832" t="s">
        <v>14</v>
      </c>
      <c r="B109" s="840"/>
      <c r="C109" s="840"/>
      <c r="D109" s="295" t="e">
        <f>D97/$B$105</f>
        <v>#DIV/0!</v>
      </c>
      <c r="E109" s="257"/>
      <c r="F109" s="258"/>
    </row>
    <row r="110" spans="1:6" x14ac:dyDescent="0.35">
      <c r="A110" s="832" t="s">
        <v>9</v>
      </c>
      <c r="B110" s="840"/>
      <c r="C110" s="840"/>
      <c r="D110" s="295" t="e">
        <f>D98/$B$105</f>
        <v>#DIV/0!</v>
      </c>
      <c r="E110" s="257"/>
      <c r="F110" s="258"/>
    </row>
    <row r="111" spans="1:6" ht="15" thickBot="1" x14ac:dyDescent="0.4">
      <c r="A111" s="832" t="s">
        <v>15</v>
      </c>
      <c r="B111" s="840"/>
      <c r="C111" s="840"/>
      <c r="D111" s="296" t="e">
        <f>D99/$B$105</f>
        <v>#DIV/0!</v>
      </c>
      <c r="E111" s="257"/>
      <c r="F111" s="258"/>
    </row>
    <row r="112" spans="1:6" ht="19" thickBot="1" x14ac:dyDescent="0.5">
      <c r="A112" s="841" t="s">
        <v>240</v>
      </c>
      <c r="B112" s="842"/>
      <c r="C112" s="843" t="s">
        <v>56</v>
      </c>
      <c r="D112" s="297" t="e">
        <f>IF(D8="x",F8,SUM(D108:D111))</f>
        <v>#DIV/0!</v>
      </c>
      <c r="E112" s="259"/>
      <c r="F112" s="260"/>
    </row>
    <row r="113" spans="1:9" ht="15.5" x14ac:dyDescent="0.35">
      <c r="A113" s="841" t="s">
        <v>240</v>
      </c>
      <c r="B113" s="842"/>
      <c r="C113" s="843" t="s">
        <v>98</v>
      </c>
      <c r="D113" s="298" t="e">
        <f>+D112*365</f>
        <v>#DIV/0!</v>
      </c>
      <c r="E113" s="261"/>
      <c r="F113" s="262"/>
    </row>
    <row r="114" spans="1:9" ht="18.5" x14ac:dyDescent="0.45">
      <c r="A114" s="844" t="s">
        <v>240</v>
      </c>
      <c r="B114" s="845"/>
      <c r="C114" s="792" t="s">
        <v>97</v>
      </c>
      <c r="D114" s="299" t="e">
        <f>+D113/12</f>
        <v>#DIV/0!</v>
      </c>
      <c r="E114" s="299" t="e">
        <f>+D114*E107</f>
        <v>#DIV/0!</v>
      </c>
      <c r="F114" s="299" t="e">
        <f>+D114*F107</f>
        <v>#DIV/0!</v>
      </c>
    </row>
    <row r="115" spans="1:9" x14ac:dyDescent="0.35">
      <c r="A115" s="64"/>
      <c r="B115" s="115"/>
      <c r="C115" s="190"/>
      <c r="D115" s="190"/>
      <c r="E115" s="190"/>
      <c r="F115" s="242"/>
    </row>
    <row r="116" spans="1:9" x14ac:dyDescent="0.35">
      <c r="A116" s="64"/>
      <c r="B116" s="115"/>
      <c r="C116" s="190"/>
      <c r="D116" s="190"/>
      <c r="E116" s="190"/>
      <c r="F116" s="242"/>
    </row>
    <row r="117" spans="1:9" ht="21" x14ac:dyDescent="0.5">
      <c r="A117" s="627" t="s">
        <v>118</v>
      </c>
      <c r="B117" s="570"/>
      <c r="C117" s="846"/>
      <c r="D117" s="846"/>
      <c r="E117" s="846"/>
      <c r="F117" s="847"/>
    </row>
    <row r="118" spans="1:9" x14ac:dyDescent="0.35">
      <c r="A118" s="848" t="s">
        <v>342</v>
      </c>
      <c r="B118" s="533">
        <f>+'Anlage Inflationsraten'!C20</f>
        <v>355.97674140824734</v>
      </c>
      <c r="C118" s="849" t="s">
        <v>119</v>
      </c>
      <c r="D118" s="534">
        <f>+B118/12</f>
        <v>29.664728450687278</v>
      </c>
      <c r="E118" s="269">
        <f>+D118</f>
        <v>29.664728450687278</v>
      </c>
      <c r="F118" s="534"/>
    </row>
    <row r="119" spans="1:9" x14ac:dyDescent="0.35">
      <c r="A119" s="850" t="s">
        <v>297</v>
      </c>
      <c r="B119" s="539">
        <v>7.4999999999999997E-3</v>
      </c>
      <c r="C119" s="851" t="s">
        <v>241</v>
      </c>
      <c r="D119" s="300" t="e">
        <f>+B119*E114</f>
        <v>#DIV/0!</v>
      </c>
      <c r="E119" s="300" t="e">
        <f>+D119</f>
        <v>#DIV/0!</v>
      </c>
      <c r="F119" s="300"/>
    </row>
    <row r="120" spans="1:9" ht="18.5" x14ac:dyDescent="0.45">
      <c r="A120" s="589" t="s">
        <v>129</v>
      </c>
      <c r="B120" s="590"/>
      <c r="C120" s="590"/>
      <c r="D120" s="301" t="e">
        <f>+SUM(D118:D119)</f>
        <v>#DIV/0!</v>
      </c>
      <c r="E120" s="301" t="e">
        <f>+SUM(E118:E119)</f>
        <v>#DIV/0!</v>
      </c>
      <c r="F120" s="301">
        <f>+SUM(F118:F119)</f>
        <v>0</v>
      </c>
    </row>
    <row r="121" spans="1:9" x14ac:dyDescent="0.35">
      <c r="A121" s="110"/>
      <c r="B121" s="518"/>
      <c r="C121" s="616"/>
      <c r="D121" s="616"/>
      <c r="E121" s="616"/>
      <c r="F121" s="852"/>
    </row>
    <row r="122" spans="1:9" ht="18.5" x14ac:dyDescent="0.45">
      <c r="A122" s="589" t="s">
        <v>120</v>
      </c>
      <c r="B122" s="590"/>
      <c r="C122" s="590"/>
      <c r="D122" s="301" t="e">
        <f>+D120+D114</f>
        <v>#DIV/0!</v>
      </c>
      <c r="E122" s="301" t="e">
        <f>+E120+E114</f>
        <v>#DIV/0!</v>
      </c>
      <c r="F122" s="301" t="e">
        <f>+F114+F120</f>
        <v>#DIV/0!</v>
      </c>
      <c r="H122" s="109" t="str">
        <f>IF(D6="x","Kontrolle","")</f>
        <v/>
      </c>
      <c r="I122" s="162" t="e">
        <f>IF(D14="x",D114*(F14+F15)-E114-F114+D120-E120-F120,D114-E114-F114+D120-E120-F120)</f>
        <v>#DIV/0!</v>
      </c>
    </row>
    <row r="123" spans="1:9" x14ac:dyDescent="0.35">
      <c r="H123" s="109" t="str">
        <f>IF(D6="x","Kontrolle","")</f>
        <v/>
      </c>
      <c r="I123" s="162" t="e">
        <f>IF(D14="x",D114*(F14+F15)+D120-E122-F122,D122-E122-F122)</f>
        <v>#DIV/0!</v>
      </c>
    </row>
  </sheetData>
  <sheetProtection algorithmName="SHA-512" hashValue="DjOrug2NBUjHzHbaDYp1b5tk6EGBp6quTqKnhRq7JdpKVK7TJJDnx7t54D5wvsVjblZliy5zYMOWl6GFSikXmA==" saltValue="cw6LyRjJEBK0rR0wPZQ8Tw==" spinCount="100000" sheet="1" objects="1" scenarios="1"/>
  <mergeCells count="18">
    <mergeCell ref="A5:F5"/>
    <mergeCell ref="D6:D7"/>
    <mergeCell ref="D8:D9"/>
    <mergeCell ref="A6:A9"/>
    <mergeCell ref="F8:F9"/>
    <mergeCell ref="B6:C6"/>
    <mergeCell ref="B8:C8"/>
    <mergeCell ref="A11:F11"/>
    <mergeCell ref="A12:A15"/>
    <mergeCell ref="B12:C12"/>
    <mergeCell ref="D12:D13"/>
    <mergeCell ref="B14:C14"/>
    <mergeCell ref="D14:D15"/>
    <mergeCell ref="B18:C18"/>
    <mergeCell ref="D18:D19"/>
    <mergeCell ref="A18:A19"/>
    <mergeCell ref="A17:F17"/>
    <mergeCell ref="E18:F19"/>
  </mergeCells>
  <conditionalFormatting sqref="I37">
    <cfRule type="expression" dxfId="105" priority="32">
      <formula>$I$37=""</formula>
    </cfRule>
    <cfRule type="expression" dxfId="104" priority="46">
      <formula>OR(I37&lt;-0.0009,I37&gt;0.0009)</formula>
    </cfRule>
  </conditionalFormatting>
  <conditionalFormatting sqref="D6:D7">
    <cfRule type="expression" dxfId="103" priority="38">
      <formula>AND($D$6="x",$D$8="x")</formula>
    </cfRule>
    <cfRule type="expression" dxfId="102" priority="40">
      <formula>$D$8="x"</formula>
    </cfRule>
  </conditionalFormatting>
  <conditionalFormatting sqref="D8:D9">
    <cfRule type="expression" dxfId="101" priority="37">
      <formula>AND($D$6="x",$D$8="x")</formula>
    </cfRule>
    <cfRule type="expression" dxfId="100" priority="39">
      <formula>$D$6="x"</formula>
    </cfRule>
  </conditionalFormatting>
  <conditionalFormatting sqref="F8:F9">
    <cfRule type="expression" dxfId="99" priority="33">
      <formula>AND($D$6="x",$F$8&gt;0)</formula>
    </cfRule>
    <cfRule type="expression" dxfId="98" priority="36">
      <formula>$D$8="x"</formula>
    </cfRule>
  </conditionalFormatting>
  <conditionalFormatting sqref="A65:A67 D65:D67 A73:B76 A80:C82 C83 A88:B90 B104 D24:D29">
    <cfRule type="expression" dxfId="97" priority="35">
      <formula>$D$8="x"</formula>
    </cfRule>
  </conditionalFormatting>
  <conditionalFormatting sqref="I93">
    <cfRule type="expression" dxfId="96" priority="30">
      <formula>$I$37=""</formula>
    </cfRule>
    <cfRule type="expression" dxfId="95" priority="31">
      <formula>OR(I93&lt;-0.0009,I93&gt;0.0009)</formula>
    </cfRule>
  </conditionalFormatting>
  <conditionalFormatting sqref="I122">
    <cfRule type="expression" dxfId="94" priority="28">
      <formula>$I$37=""</formula>
    </cfRule>
    <cfRule type="expression" dxfId="93" priority="29">
      <formula>OR(I122&lt;-0.0009,I122&gt;0.0009)</formula>
    </cfRule>
  </conditionalFormatting>
  <conditionalFormatting sqref="D12:D13">
    <cfRule type="expression" dxfId="92" priority="13">
      <formula>AND($D$6="x",$D$14="")</formula>
    </cfRule>
    <cfRule type="expression" dxfId="91" priority="15">
      <formula>+AND($D$8="X",$D$12="x")</formula>
    </cfRule>
    <cfRule type="expression" dxfId="90" priority="17">
      <formula>+$D$8="x"</formula>
    </cfRule>
    <cfRule type="expression" dxfId="89" priority="22">
      <formula>AND($D$12="x",$D$14="x")</formula>
    </cfRule>
    <cfRule type="expression" dxfId="88" priority="23">
      <formula>$D$14="x"</formula>
    </cfRule>
  </conditionalFormatting>
  <conditionalFormatting sqref="D14:D15">
    <cfRule type="expression" dxfId="87" priority="12">
      <formula>AND($D$6="x",$D$12="")</formula>
    </cfRule>
    <cfRule type="expression" dxfId="86" priority="14">
      <formula>+AND($D$8="x",$D$14="x")</formula>
    </cfRule>
    <cfRule type="expression" dxfId="85" priority="16">
      <formula>AND($D$8="x",$D$12="x")</formula>
    </cfRule>
    <cfRule type="expression" dxfId="84" priority="20">
      <formula>AND($D$12="x",$D$14="x")</formula>
    </cfRule>
    <cfRule type="expression" dxfId="83" priority="21">
      <formula>$D$12="x"</formula>
    </cfRule>
  </conditionalFormatting>
  <conditionalFormatting sqref="I123">
    <cfRule type="expression" dxfId="82" priority="18">
      <formula>$I$37=""</formula>
    </cfRule>
    <cfRule type="expression" dxfId="81" priority="19">
      <formula>OR(I123&lt;-0.0009,I123&gt;0.0009)</formula>
    </cfRule>
  </conditionalFormatting>
  <conditionalFormatting sqref="D18:D19">
    <cfRule type="expression" dxfId="80" priority="10">
      <formula>AND($D$6="x",$D$8="x")</formula>
    </cfRule>
    <cfRule type="expression" dxfId="79" priority="11">
      <formula>$D$8="x"</formula>
    </cfRule>
  </conditionalFormatting>
  <conditionalFormatting sqref="D25">
    <cfRule type="expression" dxfId="78" priority="9">
      <formula>$D$18="x"</formula>
    </cfRule>
  </conditionalFormatting>
  <conditionalFormatting sqref="D29">
    <cfRule type="expression" dxfId="77" priority="7">
      <formula>$D$18="x"</formula>
    </cfRule>
  </conditionalFormatting>
  <conditionalFormatting sqref="D27:D28">
    <cfRule type="expression" dxfId="76" priority="6">
      <formula>$D$18="x"</formula>
    </cfRule>
  </conditionalFormatting>
  <conditionalFormatting sqref="C87">
    <cfRule type="expression" dxfId="75" priority="5">
      <formula>$D$8="x"</formula>
    </cfRule>
  </conditionalFormatting>
  <conditionalFormatting sqref="C89:C90">
    <cfRule type="expression" dxfId="74" priority="4">
      <formula>$D$8="x"</formula>
    </cfRule>
  </conditionalFormatting>
  <conditionalFormatting sqref="F67">
    <cfRule type="expression" dxfId="73" priority="3">
      <formula>$D$8="x"</formula>
    </cfRule>
  </conditionalFormatting>
  <conditionalFormatting sqref="F62">
    <cfRule type="expression" dxfId="72" priority="1">
      <formula>$D$8="x"</formula>
    </cfRule>
  </conditionalFormatting>
  <pageMargins left="0.7" right="0.7" top="0.78740157499999996" bottom="0.78740157499999996" header="0.3" footer="0.3"/>
  <pageSetup paperSize="9" scale="64" fitToWidth="0" fitToHeight="0" orientation="portrait" r:id="rId1"/>
  <rowBreaks count="1" manualBreakCount="1">
    <brk id="57"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53125" defaultRowHeight="14.5" x14ac:dyDescent="0.35"/>
  <cols>
    <col min="1" max="1" width="22" style="114" customWidth="1"/>
    <col min="2" max="2" width="29.26953125" style="114" customWidth="1"/>
    <col min="3" max="5" width="15.453125" style="263" customWidth="1"/>
    <col min="6" max="7" width="15.453125" style="114" customWidth="1"/>
    <col min="8" max="8" width="15.1796875" style="114" customWidth="1"/>
    <col min="9" max="9" width="4.81640625" style="60" customWidth="1"/>
    <col min="10" max="10" width="7.7265625" style="114" bestFit="1" customWidth="1"/>
    <col min="11" max="11" width="9.81640625" style="114" customWidth="1"/>
    <col min="12" max="16384" width="11.453125" style="114"/>
  </cols>
  <sheetData>
    <row r="1" spans="1:10" ht="26" x14ac:dyDescent="0.6">
      <c r="A1" s="617" t="s">
        <v>323</v>
      </c>
      <c r="B1" s="618"/>
      <c r="C1" s="619"/>
      <c r="D1" s="619"/>
      <c r="E1" s="619"/>
      <c r="F1" s="618"/>
      <c r="G1" s="618"/>
      <c r="H1" s="620"/>
    </row>
    <row r="2" spans="1:10" ht="26" x14ac:dyDescent="0.6">
      <c r="A2" s="621" t="s">
        <v>235</v>
      </c>
      <c r="B2" s="622"/>
      <c r="C2" s="622"/>
      <c r="D2" s="622"/>
      <c r="E2" s="622"/>
      <c r="F2" s="622"/>
      <c r="G2" s="622"/>
      <c r="H2" s="623" t="str">
        <f>+Stammdaten!D2</f>
        <v>Version 1.8</v>
      </c>
    </row>
    <row r="3" spans="1:10" ht="15" thickBot="1" x14ac:dyDescent="0.4">
      <c r="A3" s="338">
        <f>+Stammdaten!B5</f>
        <v>0</v>
      </c>
      <c r="B3" s="1"/>
      <c r="C3" s="1">
        <f>+Stammdaten!B6</f>
        <v>0</v>
      </c>
      <c r="D3" s="1"/>
      <c r="E3" s="1"/>
      <c r="F3" s="624" t="s">
        <v>40</v>
      </c>
      <c r="G3" s="625"/>
      <c r="H3" s="626"/>
      <c r="J3" s="191"/>
    </row>
    <row r="4" spans="1:10" ht="75.75" customHeight="1" thickBot="1" x14ac:dyDescent="0.4">
      <c r="A4" s="1061" t="s">
        <v>336</v>
      </c>
      <c r="B4" s="1062"/>
      <c r="C4" s="1062"/>
      <c r="D4" s="1062"/>
      <c r="E4" s="1062"/>
      <c r="F4" s="1062"/>
      <c r="G4" s="1062"/>
      <c r="H4" s="1063"/>
      <c r="J4" s="314"/>
    </row>
    <row r="5" spans="1:10" x14ac:dyDescent="0.35">
      <c r="A5" s="192"/>
      <c r="B5" s="115"/>
      <c r="C5" s="115"/>
      <c r="D5" s="115"/>
      <c r="E5" s="115"/>
      <c r="F5" s="115"/>
      <c r="G5" s="115"/>
      <c r="H5" s="193"/>
      <c r="J5" s="314"/>
    </row>
    <row r="6" spans="1:10" ht="21" x14ac:dyDescent="0.5">
      <c r="A6" s="627" t="s">
        <v>233</v>
      </c>
      <c r="B6" s="570"/>
      <c r="C6" s="569" t="s">
        <v>157</v>
      </c>
      <c r="D6" s="570"/>
      <c r="E6" s="570"/>
      <c r="F6" s="570"/>
      <c r="G6" s="628"/>
      <c r="H6" s="629"/>
      <c r="J6" s="191"/>
    </row>
    <row r="7" spans="1:10" ht="33" customHeight="1" thickBot="1" x14ac:dyDescent="0.4">
      <c r="A7" s="1092" t="s">
        <v>234</v>
      </c>
      <c r="B7" s="1093"/>
      <c r="C7" s="630" t="s">
        <v>149</v>
      </c>
      <c r="D7" s="630" t="s">
        <v>150</v>
      </c>
      <c r="E7" s="631" t="s">
        <v>130</v>
      </c>
      <c r="F7" s="631" t="s">
        <v>131</v>
      </c>
      <c r="G7" s="632" t="s">
        <v>146</v>
      </c>
      <c r="H7" s="633" t="s">
        <v>132</v>
      </c>
      <c r="J7" s="314"/>
    </row>
    <row r="8" spans="1:10" x14ac:dyDescent="0.35">
      <c r="A8" s="634" t="s">
        <v>137</v>
      </c>
      <c r="B8" s="635"/>
      <c r="C8" s="636" t="s">
        <v>170</v>
      </c>
      <c r="D8" s="637"/>
      <c r="E8" s="637"/>
      <c r="F8" s="637"/>
      <c r="G8" s="637"/>
      <c r="H8" s="638"/>
      <c r="J8" s="191"/>
    </row>
    <row r="9" spans="1:10" x14ac:dyDescent="0.35">
      <c r="A9" s="315" t="s">
        <v>141</v>
      </c>
      <c r="B9" s="316"/>
      <c r="C9" s="317"/>
      <c r="D9" s="317"/>
      <c r="E9" s="318"/>
      <c r="F9" s="318"/>
      <c r="G9" s="319"/>
      <c r="H9" s="339">
        <f>+SUM(C9:G9)</f>
        <v>0</v>
      </c>
      <c r="J9" s="191"/>
    </row>
    <row r="10" spans="1:10" x14ac:dyDescent="0.35">
      <c r="A10" s="315" t="s">
        <v>144</v>
      </c>
      <c r="B10" s="316"/>
      <c r="C10" s="317"/>
      <c r="D10" s="317"/>
      <c r="E10" s="318"/>
      <c r="F10" s="318"/>
      <c r="G10" s="319"/>
      <c r="H10" s="339">
        <f>+SUM(C10:G10)</f>
        <v>0</v>
      </c>
      <c r="J10" s="191"/>
    </row>
    <row r="11" spans="1:10" x14ac:dyDescent="0.35">
      <c r="A11" s="315" t="s">
        <v>143</v>
      </c>
      <c r="B11" s="316"/>
      <c r="C11" s="317"/>
      <c r="D11" s="317"/>
      <c r="E11" s="318"/>
      <c r="F11" s="318"/>
      <c r="G11" s="319"/>
      <c r="H11" s="339">
        <f>+SUM(C11:G11)</f>
        <v>0</v>
      </c>
      <c r="J11" s="191"/>
    </row>
    <row r="12" spans="1:10" x14ac:dyDescent="0.35">
      <c r="A12" s="315" t="s">
        <v>147</v>
      </c>
      <c r="B12" s="316"/>
      <c r="C12" s="317"/>
      <c r="D12" s="317"/>
      <c r="E12" s="318"/>
      <c r="F12" s="318"/>
      <c r="G12" s="319"/>
      <c r="H12" s="339">
        <f>+SUM(C12:G12)</f>
        <v>0</v>
      </c>
      <c r="J12" s="191"/>
    </row>
    <row r="13" spans="1:10" x14ac:dyDescent="0.35">
      <c r="A13" s="315" t="s">
        <v>142</v>
      </c>
      <c r="B13" s="316"/>
      <c r="C13" s="317"/>
      <c r="D13" s="317"/>
      <c r="E13" s="318"/>
      <c r="F13" s="318"/>
      <c r="G13" s="319"/>
      <c r="H13" s="339">
        <f>+SUM(C13:G13)</f>
        <v>0</v>
      </c>
      <c r="J13" s="191"/>
    </row>
    <row r="14" spans="1:10" x14ac:dyDescent="0.35">
      <c r="A14" s="315" t="s">
        <v>148</v>
      </c>
      <c r="B14" s="316"/>
      <c r="C14" s="317"/>
      <c r="D14" s="317"/>
      <c r="E14" s="318"/>
      <c r="F14" s="318"/>
      <c r="G14" s="319"/>
      <c r="H14" s="339">
        <f t="shared" ref="H14:H18" si="0">+SUM(C14:G14)</f>
        <v>0</v>
      </c>
      <c r="J14" s="191"/>
    </row>
    <row r="15" spans="1:10" x14ac:dyDescent="0.35">
      <c r="A15" s="315" t="s">
        <v>145</v>
      </c>
      <c r="B15" s="316"/>
      <c r="C15" s="317"/>
      <c r="D15" s="317"/>
      <c r="E15" s="318"/>
      <c r="F15" s="318"/>
      <c r="G15" s="319"/>
      <c r="H15" s="339">
        <f t="shared" si="0"/>
        <v>0</v>
      </c>
      <c r="J15" s="191"/>
    </row>
    <row r="16" spans="1:10" x14ac:dyDescent="0.35">
      <c r="A16" s="315" t="s">
        <v>140</v>
      </c>
      <c r="B16" s="316"/>
      <c r="C16" s="317"/>
      <c r="D16" s="317"/>
      <c r="E16" s="320"/>
      <c r="F16" s="318"/>
      <c r="G16" s="319"/>
      <c r="H16" s="339">
        <f t="shared" si="0"/>
        <v>0</v>
      </c>
      <c r="J16" s="314"/>
    </row>
    <row r="17" spans="1:11" x14ac:dyDescent="0.35">
      <c r="A17" s="315"/>
      <c r="B17" s="316"/>
      <c r="C17" s="317"/>
      <c r="D17" s="317"/>
      <c r="E17" s="318"/>
      <c r="F17" s="318"/>
      <c r="G17" s="319"/>
      <c r="H17" s="339">
        <f t="shared" si="0"/>
        <v>0</v>
      </c>
      <c r="J17" s="191"/>
    </row>
    <row r="18" spans="1:11" ht="16" customHeight="1" thickBot="1" x14ac:dyDescent="0.4">
      <c r="A18" s="321"/>
      <c r="B18" s="322"/>
      <c r="C18" s="323"/>
      <c r="D18" s="323"/>
      <c r="E18" s="324"/>
      <c r="F18" s="324"/>
      <c r="G18" s="325"/>
      <c r="H18" s="339">
        <f t="shared" si="0"/>
        <v>0</v>
      </c>
      <c r="J18" s="191"/>
    </row>
    <row r="19" spans="1:11" ht="15.5" thickTop="1" thickBot="1" x14ac:dyDescent="0.4">
      <c r="A19" s="853" t="s">
        <v>138</v>
      </c>
      <c r="B19" s="854"/>
      <c r="C19" s="341">
        <f t="shared" ref="C19:H19" si="1">+SUM(C9:C18)</f>
        <v>0</v>
      </c>
      <c r="D19" s="341">
        <f t="shared" si="1"/>
        <v>0</v>
      </c>
      <c r="E19" s="341">
        <f t="shared" si="1"/>
        <v>0</v>
      </c>
      <c r="F19" s="341">
        <f t="shared" si="1"/>
        <v>0</v>
      </c>
      <c r="G19" s="341">
        <f t="shared" si="1"/>
        <v>0</v>
      </c>
      <c r="H19" s="340">
        <f t="shared" si="1"/>
        <v>0</v>
      </c>
      <c r="J19" s="191"/>
    </row>
    <row r="20" spans="1:11" x14ac:dyDescent="0.35">
      <c r="A20" s="634" t="s">
        <v>139</v>
      </c>
      <c r="B20" s="635"/>
      <c r="C20" s="636" t="s">
        <v>170</v>
      </c>
      <c r="D20" s="637"/>
      <c r="E20" s="637"/>
      <c r="F20" s="637"/>
      <c r="G20" s="637"/>
      <c r="H20" s="638"/>
      <c r="J20" s="191"/>
    </row>
    <row r="21" spans="1:11" x14ac:dyDescent="0.35">
      <c r="A21" s="315" t="s">
        <v>133</v>
      </c>
      <c r="B21" s="316"/>
      <c r="C21" s="317"/>
      <c r="D21" s="317"/>
      <c r="E21" s="318"/>
      <c r="F21" s="318"/>
      <c r="G21" s="319"/>
      <c r="H21" s="339">
        <f t="shared" ref="H21:H27" si="2">+SUM(C21:G21)</f>
        <v>0</v>
      </c>
      <c r="J21" s="191"/>
    </row>
    <row r="22" spans="1:11" x14ac:dyDescent="0.35">
      <c r="A22" s="315" t="s">
        <v>134</v>
      </c>
      <c r="B22" s="316"/>
      <c r="C22" s="317"/>
      <c r="D22" s="317"/>
      <c r="E22" s="318"/>
      <c r="F22" s="318"/>
      <c r="G22" s="319"/>
      <c r="H22" s="339">
        <f t="shared" si="2"/>
        <v>0</v>
      </c>
      <c r="J22" s="191"/>
    </row>
    <row r="23" spans="1:11" x14ac:dyDescent="0.35">
      <c r="A23" s="315" t="s">
        <v>135</v>
      </c>
      <c r="B23" s="316"/>
      <c r="C23" s="317"/>
      <c r="D23" s="317"/>
      <c r="E23" s="318"/>
      <c r="F23" s="318"/>
      <c r="G23" s="319"/>
      <c r="H23" s="339">
        <f t="shared" si="2"/>
        <v>0</v>
      </c>
      <c r="J23" s="191"/>
    </row>
    <row r="24" spans="1:11" x14ac:dyDescent="0.35">
      <c r="A24" s="326" t="s">
        <v>140</v>
      </c>
      <c r="B24" s="327"/>
      <c r="C24" s="328"/>
      <c r="D24" s="328"/>
      <c r="E24" s="329"/>
      <c r="F24" s="329"/>
      <c r="G24" s="330"/>
      <c r="H24" s="339">
        <f t="shared" si="2"/>
        <v>0</v>
      </c>
      <c r="J24" s="191"/>
    </row>
    <row r="25" spans="1:11" x14ac:dyDescent="0.35">
      <c r="A25" s="326"/>
      <c r="B25" s="327"/>
      <c r="C25" s="328"/>
      <c r="D25" s="328"/>
      <c r="E25" s="329"/>
      <c r="F25" s="329"/>
      <c r="G25" s="330"/>
      <c r="H25" s="339">
        <f t="shared" si="2"/>
        <v>0</v>
      </c>
      <c r="J25" s="191"/>
    </row>
    <row r="26" spans="1:11" x14ac:dyDescent="0.35">
      <c r="A26" s="326"/>
      <c r="B26" s="327"/>
      <c r="C26" s="328"/>
      <c r="D26" s="328"/>
      <c r="E26" s="329"/>
      <c r="F26" s="329"/>
      <c r="G26" s="330"/>
      <c r="H26" s="339">
        <f t="shared" si="2"/>
        <v>0</v>
      </c>
      <c r="J26" s="191"/>
    </row>
    <row r="27" spans="1:11" ht="16" customHeight="1" thickBot="1" x14ac:dyDescent="0.4">
      <c r="A27" s="321"/>
      <c r="B27" s="322"/>
      <c r="C27" s="323"/>
      <c r="D27" s="323"/>
      <c r="E27" s="324"/>
      <c r="F27" s="324"/>
      <c r="G27" s="325"/>
      <c r="H27" s="344">
        <f t="shared" si="2"/>
        <v>0</v>
      </c>
      <c r="J27" s="191"/>
    </row>
    <row r="28" spans="1:11" ht="17.149999999999999" customHeight="1" thickTop="1" thickBot="1" x14ac:dyDescent="0.4">
      <c r="A28" s="853" t="s">
        <v>136</v>
      </c>
      <c r="B28" s="854"/>
      <c r="C28" s="341">
        <f t="shared" ref="C28:H28" si="3">+SUM(C21:C27)</f>
        <v>0</v>
      </c>
      <c r="D28" s="341">
        <f t="shared" si="3"/>
        <v>0</v>
      </c>
      <c r="E28" s="341">
        <f t="shared" si="3"/>
        <v>0</v>
      </c>
      <c r="F28" s="341">
        <f t="shared" si="3"/>
        <v>0</v>
      </c>
      <c r="G28" s="341">
        <f t="shared" si="3"/>
        <v>0</v>
      </c>
      <c r="H28" s="340">
        <f t="shared" si="3"/>
        <v>0</v>
      </c>
      <c r="J28" s="191"/>
    </row>
    <row r="29" spans="1:11" ht="15" thickBot="1" x14ac:dyDescent="0.4">
      <c r="A29" s="855" t="s">
        <v>151</v>
      </c>
      <c r="B29" s="757"/>
      <c r="C29" s="342">
        <f>+C28+C19</f>
        <v>0</v>
      </c>
      <c r="D29" s="342">
        <f>+D28+D19</f>
        <v>0</v>
      </c>
      <c r="E29" s="342">
        <f>+E28+E19</f>
        <v>0</v>
      </c>
      <c r="F29" s="342">
        <f>+F28+F19</f>
        <v>0</v>
      </c>
      <c r="G29" s="342">
        <f>+G28+G19</f>
        <v>0</v>
      </c>
      <c r="H29" s="343">
        <f>SUM(C29:G29)</f>
        <v>0</v>
      </c>
      <c r="J29" s="108" t="s">
        <v>6</v>
      </c>
      <c r="K29" s="162">
        <f>+H29-H28-H19</f>
        <v>0</v>
      </c>
    </row>
    <row r="30" spans="1:11" x14ac:dyDescent="0.35">
      <c r="A30" s="192"/>
      <c r="B30" s="115"/>
      <c r="C30" s="115"/>
      <c r="D30" s="115"/>
      <c r="E30" s="115"/>
      <c r="F30" s="115"/>
      <c r="G30" s="115"/>
      <c r="H30" s="193"/>
      <c r="J30" s="191"/>
    </row>
    <row r="31" spans="1:11" ht="21" x14ac:dyDescent="0.5">
      <c r="A31" s="627" t="s">
        <v>232</v>
      </c>
      <c r="B31" s="817"/>
      <c r="C31" s="818"/>
      <c r="D31" s="230"/>
      <c r="E31" s="115"/>
      <c r="F31" s="115"/>
      <c r="G31" s="115"/>
      <c r="H31" s="193"/>
      <c r="J31" s="191"/>
    </row>
    <row r="32" spans="1:11" x14ac:dyDescent="0.35">
      <c r="A32" s="561" t="s">
        <v>70</v>
      </c>
      <c r="B32" s="32" t="s">
        <v>173</v>
      </c>
      <c r="C32" s="232"/>
      <c r="D32" s="233"/>
      <c r="E32" s="115"/>
      <c r="F32" s="115"/>
      <c r="G32" s="115"/>
      <c r="H32" s="193"/>
      <c r="J32" s="191"/>
    </row>
    <row r="33" spans="1:10" x14ac:dyDescent="0.35">
      <c r="A33" s="235" t="s">
        <v>82</v>
      </c>
      <c r="B33" s="236"/>
      <c r="C33" s="237"/>
      <c r="D33" s="238"/>
      <c r="E33" s="115"/>
      <c r="F33" s="115"/>
      <c r="G33" s="115"/>
      <c r="H33" s="193"/>
      <c r="J33" s="191"/>
    </row>
    <row r="34" spans="1:10" x14ac:dyDescent="0.35">
      <c r="A34" s="235" t="s">
        <v>83</v>
      </c>
      <c r="B34" s="236"/>
      <c r="C34" s="237"/>
      <c r="D34" s="238"/>
      <c r="E34" s="115"/>
      <c r="F34" s="115"/>
      <c r="G34" s="115"/>
      <c r="H34" s="193"/>
      <c r="J34" s="191"/>
    </row>
    <row r="35" spans="1:10" x14ac:dyDescent="0.35">
      <c r="A35" s="235" t="s">
        <v>84</v>
      </c>
      <c r="B35" s="236"/>
      <c r="C35" s="240"/>
      <c r="D35" s="238"/>
      <c r="E35" s="115"/>
      <c r="F35" s="115"/>
      <c r="G35" s="115"/>
      <c r="H35" s="193"/>
      <c r="J35" s="191"/>
    </row>
    <row r="36" spans="1:10" x14ac:dyDescent="0.35">
      <c r="A36" s="856" t="s">
        <v>70</v>
      </c>
      <c r="B36" s="280">
        <f>SUM(B33:B35)</f>
        <v>0</v>
      </c>
      <c r="C36" s="237"/>
      <c r="D36" s="238"/>
      <c r="E36" s="115"/>
      <c r="F36" s="115"/>
      <c r="G36" s="115"/>
      <c r="H36" s="193"/>
      <c r="J36" s="191"/>
    </row>
    <row r="37" spans="1:10" x14ac:dyDescent="0.35">
      <c r="A37" s="64"/>
      <c r="B37" s="241"/>
      <c r="C37" s="190"/>
      <c r="D37" s="242"/>
      <c r="E37" s="115"/>
      <c r="F37" s="115"/>
      <c r="G37" s="115"/>
      <c r="H37" s="193"/>
      <c r="J37" s="191"/>
    </row>
    <row r="38" spans="1:10" x14ac:dyDescent="0.35">
      <c r="A38" s="561" t="s">
        <v>88</v>
      </c>
      <c r="B38" s="32" t="s">
        <v>173</v>
      </c>
      <c r="C38" s="831" t="s">
        <v>167</v>
      </c>
      <c r="D38" s="233"/>
      <c r="E38" s="115"/>
      <c r="F38" s="115"/>
      <c r="G38" s="115"/>
      <c r="H38" s="193"/>
      <c r="J38" s="191"/>
    </row>
    <row r="39" spans="1:10" x14ac:dyDescent="0.35">
      <c r="A39" s="235" t="s">
        <v>82</v>
      </c>
      <c r="B39" s="202"/>
      <c r="C39" s="244"/>
      <c r="D39" s="284">
        <f>B39*C39</f>
        <v>0</v>
      </c>
      <c r="E39" s="115"/>
      <c r="F39" s="115"/>
      <c r="G39" s="115"/>
      <c r="H39" s="193"/>
      <c r="J39" s="191"/>
    </row>
    <row r="40" spans="1:10" x14ac:dyDescent="0.35">
      <c r="A40" s="235" t="s">
        <v>83</v>
      </c>
      <c r="B40" s="202"/>
      <c r="C40" s="244"/>
      <c r="D40" s="284">
        <f>B40*C40</f>
        <v>0</v>
      </c>
      <c r="E40" s="115"/>
      <c r="F40" s="115"/>
      <c r="G40" s="115"/>
      <c r="H40" s="193"/>
      <c r="J40" s="191"/>
    </row>
    <row r="41" spans="1:10" x14ac:dyDescent="0.35">
      <c r="A41" s="832" t="s">
        <v>59</v>
      </c>
      <c r="B41" s="281">
        <f>+C29</f>
        <v>0</v>
      </c>
      <c r="C41" s="244"/>
      <c r="D41" s="284">
        <f>B41*C41</f>
        <v>0</v>
      </c>
      <c r="E41" s="115"/>
      <c r="F41" s="115"/>
      <c r="G41" s="115"/>
      <c r="H41" s="193"/>
      <c r="J41" s="191"/>
    </row>
    <row r="42" spans="1:10" x14ac:dyDescent="0.35">
      <c r="A42" s="235" t="s">
        <v>96</v>
      </c>
      <c r="B42" s="202"/>
      <c r="C42" s="244"/>
      <c r="D42" s="284">
        <f>B42*C42</f>
        <v>0</v>
      </c>
      <c r="E42" s="115"/>
      <c r="F42" s="115"/>
      <c r="G42" s="115"/>
      <c r="H42" s="193"/>
      <c r="J42" s="191"/>
    </row>
    <row r="43" spans="1:10" x14ac:dyDescent="0.35">
      <c r="A43" s="856" t="s">
        <v>89</v>
      </c>
      <c r="B43" s="280">
        <f>SUM(B39:B42)</f>
        <v>0</v>
      </c>
      <c r="C43" s="283" t="e">
        <f>((B41*C41)+(B39*C39)+(B42*C42)+(B40*C40))/B43</f>
        <v>#DIV/0!</v>
      </c>
      <c r="D43" s="285">
        <f>SUM(D39:D42)</f>
        <v>0</v>
      </c>
      <c r="E43" s="115"/>
      <c r="F43" s="115"/>
      <c r="G43" s="115"/>
      <c r="H43" s="193"/>
      <c r="J43" s="191"/>
    </row>
    <row r="44" spans="1:10" x14ac:dyDescent="0.35">
      <c r="A44" s="64"/>
      <c r="B44" s="115"/>
      <c r="C44" s="190"/>
      <c r="D44" s="223"/>
      <c r="E44" s="115"/>
      <c r="F44" s="115"/>
      <c r="G44" s="115"/>
      <c r="H44" s="193"/>
      <c r="J44" s="191"/>
    </row>
    <row r="45" spans="1:10" x14ac:dyDescent="0.35">
      <c r="A45" s="561" t="s">
        <v>90</v>
      </c>
      <c r="B45" s="32" t="s">
        <v>173</v>
      </c>
      <c r="C45" s="831" t="s">
        <v>167</v>
      </c>
      <c r="D45" s="245"/>
      <c r="E45" s="115"/>
      <c r="F45" s="115"/>
      <c r="G45" s="115"/>
      <c r="H45" s="193"/>
      <c r="J45" s="191"/>
    </row>
    <row r="46" spans="1:10" x14ac:dyDescent="0.35">
      <c r="A46" s="833" t="s">
        <v>90</v>
      </c>
      <c r="B46" s="286">
        <f>+H29-B36-B43-B47-B48-B49</f>
        <v>0</v>
      </c>
      <c r="C46" s="282">
        <f>+'B_1 Geb. Kaltmiete'!C87</f>
        <v>1.4999999999999999E-2</v>
      </c>
      <c r="D46" s="287">
        <f>B46*C46</f>
        <v>0</v>
      </c>
      <c r="E46" s="115"/>
      <c r="F46" s="115"/>
      <c r="G46" s="115"/>
      <c r="H46" s="193"/>
      <c r="J46" s="191"/>
    </row>
    <row r="47" spans="1:10" x14ac:dyDescent="0.35">
      <c r="A47" s="235" t="s">
        <v>93</v>
      </c>
      <c r="B47" s="236"/>
      <c r="C47" s="282">
        <v>0</v>
      </c>
      <c r="D47" s="287">
        <f>B47*C47</f>
        <v>0</v>
      </c>
      <c r="E47" s="115"/>
      <c r="F47" s="115"/>
      <c r="G47" s="115"/>
      <c r="H47" s="193"/>
      <c r="J47" s="191"/>
    </row>
    <row r="48" spans="1:10" x14ac:dyDescent="0.35">
      <c r="A48" s="235" t="s">
        <v>84</v>
      </c>
      <c r="B48" s="236"/>
      <c r="C48" s="282">
        <f>+C46</f>
        <v>1.4999999999999999E-2</v>
      </c>
      <c r="D48" s="287">
        <f>B48*C48</f>
        <v>0</v>
      </c>
      <c r="E48" s="115"/>
      <c r="F48" s="115"/>
      <c r="G48" s="115"/>
      <c r="H48" s="193"/>
      <c r="J48" s="191"/>
    </row>
    <row r="49" spans="1:10" x14ac:dyDescent="0.35">
      <c r="A49" s="243" t="s">
        <v>96</v>
      </c>
      <c r="B49" s="236"/>
      <c r="C49" s="282">
        <f>+C46</f>
        <v>1.4999999999999999E-2</v>
      </c>
      <c r="D49" s="287">
        <f>B49*C49</f>
        <v>0</v>
      </c>
      <c r="E49" s="115"/>
      <c r="F49" s="115"/>
      <c r="G49" s="115"/>
      <c r="H49" s="193"/>
      <c r="J49" s="191"/>
    </row>
    <row r="50" spans="1:10" x14ac:dyDescent="0.35">
      <c r="A50" s="856" t="s">
        <v>91</v>
      </c>
      <c r="B50" s="280">
        <f>SUM(B46:B49)</f>
        <v>0</v>
      </c>
      <c r="C50" s="834"/>
      <c r="D50" s="288">
        <f>SUM(D46:D49)</f>
        <v>0</v>
      </c>
      <c r="E50" s="115"/>
      <c r="F50" s="115"/>
      <c r="G50" s="115"/>
      <c r="H50" s="193"/>
      <c r="J50" s="191"/>
    </row>
    <row r="51" spans="1:10" x14ac:dyDescent="0.35">
      <c r="A51" s="857"/>
      <c r="B51" s="858"/>
      <c r="C51" s="859"/>
      <c r="D51" s="860"/>
      <c r="E51" s="115"/>
      <c r="F51" s="115"/>
      <c r="G51" s="115"/>
      <c r="H51" s="193"/>
      <c r="J51" s="191"/>
    </row>
    <row r="52" spans="1:10" x14ac:dyDescent="0.35">
      <c r="A52" s="814" t="s">
        <v>92</v>
      </c>
      <c r="B52" s="289">
        <f>+B36+B43+B50</f>
        <v>0</v>
      </c>
      <c r="C52" s="579"/>
      <c r="D52" s="264">
        <f>D50+D43</f>
        <v>0</v>
      </c>
      <c r="E52" s="115"/>
      <c r="F52" s="115"/>
      <c r="G52" s="115"/>
      <c r="H52" s="193"/>
      <c r="J52" s="191"/>
    </row>
    <row r="53" spans="1:10" x14ac:dyDescent="0.35">
      <c r="A53" s="192"/>
      <c r="B53" s="115"/>
      <c r="C53" s="115"/>
      <c r="D53" s="115"/>
      <c r="E53" s="115"/>
      <c r="F53" s="115"/>
      <c r="G53" s="115"/>
      <c r="H53" s="193"/>
      <c r="J53" s="191"/>
    </row>
    <row r="54" spans="1:10" ht="21" x14ac:dyDescent="0.5">
      <c r="A54" s="627" t="s">
        <v>231</v>
      </c>
      <c r="B54" s="817"/>
      <c r="C54" s="818"/>
      <c r="D54" s="272"/>
      <c r="E54" s="115"/>
      <c r="F54" s="115"/>
      <c r="G54" s="115"/>
      <c r="H54" s="193"/>
      <c r="J54" s="191"/>
    </row>
    <row r="55" spans="1:10" x14ac:dyDescent="0.35">
      <c r="A55" s="561" t="s">
        <v>172</v>
      </c>
      <c r="B55" s="3"/>
      <c r="C55" s="3"/>
      <c r="D55" s="32" t="s">
        <v>287</v>
      </c>
      <c r="E55" s="115"/>
      <c r="F55" s="115"/>
      <c r="G55" s="115"/>
      <c r="H55" s="193"/>
      <c r="J55" s="191"/>
    </row>
    <row r="56" spans="1:10" x14ac:dyDescent="0.35">
      <c r="A56" s="243" t="s">
        <v>82</v>
      </c>
      <c r="B56" s="482"/>
      <c r="C56" s="532"/>
      <c r="D56" s="202"/>
      <c r="E56" s="115"/>
      <c r="F56" s="115"/>
      <c r="G56" s="115"/>
      <c r="H56" s="193"/>
      <c r="J56" s="191"/>
    </row>
    <row r="57" spans="1:10" x14ac:dyDescent="0.35">
      <c r="A57" s="243" t="s">
        <v>83</v>
      </c>
      <c r="B57" s="482"/>
      <c r="C57" s="532"/>
      <c r="D57" s="202"/>
      <c r="E57" s="115"/>
      <c r="F57" s="115"/>
      <c r="G57" s="115"/>
      <c r="H57" s="193"/>
      <c r="J57" s="191"/>
    </row>
    <row r="58" spans="1:10" x14ac:dyDescent="0.35">
      <c r="A58" s="243" t="s">
        <v>84</v>
      </c>
      <c r="B58" s="482"/>
      <c r="C58" s="117"/>
      <c r="D58" s="202"/>
      <c r="E58" s="115"/>
      <c r="F58" s="115"/>
      <c r="G58" s="115"/>
      <c r="H58" s="193"/>
      <c r="J58" s="191"/>
    </row>
    <row r="59" spans="1:10" x14ac:dyDescent="0.35">
      <c r="A59" s="856" t="s">
        <v>10</v>
      </c>
      <c r="B59" s="861"/>
      <c r="C59" s="415"/>
      <c r="D59" s="414">
        <f>SUM(D56:D58)</f>
        <v>0</v>
      </c>
      <c r="E59" s="115"/>
      <c r="F59" s="115"/>
      <c r="G59" s="115"/>
      <c r="H59" s="193"/>
      <c r="J59" s="191"/>
    </row>
    <row r="60" spans="1:10" x14ac:dyDescent="0.35">
      <c r="A60" s="64"/>
      <c r="B60" s="115"/>
      <c r="C60" s="115"/>
      <c r="D60" s="258"/>
      <c r="E60" s="115"/>
      <c r="F60" s="115"/>
      <c r="G60" s="115"/>
      <c r="H60" s="193"/>
      <c r="J60" s="191"/>
    </row>
    <row r="61" spans="1:10" x14ac:dyDescent="0.35">
      <c r="A61" s="561" t="s">
        <v>85</v>
      </c>
      <c r="B61" s="3"/>
      <c r="C61" s="3"/>
      <c r="D61" s="32" t="s">
        <v>287</v>
      </c>
      <c r="E61" s="115"/>
      <c r="F61" s="115"/>
      <c r="G61" s="115"/>
      <c r="H61" s="193"/>
      <c r="J61" s="191"/>
    </row>
    <row r="62" spans="1:10" x14ac:dyDescent="0.35">
      <c r="A62" s="243" t="s">
        <v>82</v>
      </c>
      <c r="B62" s="482"/>
      <c r="C62" s="532"/>
      <c r="D62" s="202"/>
      <c r="E62" s="115"/>
      <c r="F62" s="115"/>
      <c r="G62" s="115"/>
      <c r="H62" s="193"/>
      <c r="J62" s="191"/>
    </row>
    <row r="63" spans="1:10" x14ac:dyDescent="0.35">
      <c r="A63" s="243" t="s">
        <v>83</v>
      </c>
      <c r="B63" s="482"/>
      <c r="C63" s="532"/>
      <c r="D63" s="202"/>
      <c r="E63" s="115"/>
      <c r="F63" s="115"/>
      <c r="G63" s="115"/>
      <c r="H63" s="193"/>
      <c r="J63" s="191"/>
    </row>
    <row r="64" spans="1:10" x14ac:dyDescent="0.35">
      <c r="A64" s="243" t="s">
        <v>84</v>
      </c>
      <c r="B64" s="482"/>
      <c r="C64" s="117"/>
      <c r="D64" s="202"/>
      <c r="E64" s="115"/>
      <c r="F64" s="115"/>
      <c r="G64" s="115"/>
      <c r="H64" s="193"/>
      <c r="J64" s="191"/>
    </row>
    <row r="65" spans="1:11" x14ac:dyDescent="0.35">
      <c r="A65" s="856" t="s">
        <v>10</v>
      </c>
      <c r="B65" s="861"/>
      <c r="C65" s="415"/>
      <c r="D65" s="414">
        <f>SUM(D62:D64)</f>
        <v>0</v>
      </c>
      <c r="E65" s="115"/>
      <c r="F65" s="115"/>
      <c r="G65" s="115"/>
      <c r="H65" s="193"/>
      <c r="J65" s="191"/>
    </row>
    <row r="66" spans="1:11" x14ac:dyDescent="0.35">
      <c r="A66" s="110"/>
      <c r="B66" s="518"/>
      <c r="C66" s="518"/>
      <c r="D66" s="862"/>
      <c r="E66" s="115"/>
      <c r="F66" s="115"/>
      <c r="G66" s="115"/>
      <c r="H66" s="193"/>
      <c r="J66" s="191"/>
    </row>
    <row r="67" spans="1:11" x14ac:dyDescent="0.35">
      <c r="A67" s="578" t="s">
        <v>86</v>
      </c>
      <c r="B67" s="579"/>
      <c r="C67" s="579"/>
      <c r="D67" s="264">
        <f>D65+D59</f>
        <v>0</v>
      </c>
      <c r="E67" s="115"/>
      <c r="F67" s="115"/>
      <c r="G67" s="115"/>
      <c r="H67" s="193"/>
      <c r="J67" s="191"/>
    </row>
    <row r="68" spans="1:11" x14ac:dyDescent="0.35">
      <c r="A68" s="192"/>
      <c r="B68" s="115"/>
      <c r="C68" s="115"/>
      <c r="D68" s="115"/>
      <c r="E68" s="115"/>
      <c r="F68" s="115"/>
      <c r="G68" s="115"/>
      <c r="H68" s="193"/>
      <c r="J68" s="191"/>
    </row>
    <row r="69" spans="1:11" x14ac:dyDescent="0.35">
      <c r="A69" s="192"/>
      <c r="B69" s="115"/>
      <c r="C69" s="115"/>
      <c r="D69" s="115"/>
      <c r="E69" s="115"/>
      <c r="F69" s="115"/>
      <c r="G69" s="115"/>
      <c r="H69" s="193"/>
      <c r="J69" s="191"/>
    </row>
    <row r="70" spans="1:11" ht="21" x14ac:dyDescent="0.5">
      <c r="A70" s="863" t="s">
        <v>211</v>
      </c>
      <c r="B70" s="824"/>
      <c r="C70" s="824"/>
      <c r="D70" s="864" t="s">
        <v>17</v>
      </c>
      <c r="E70" s="864" t="s">
        <v>113</v>
      </c>
      <c r="F70" s="115"/>
      <c r="G70" s="115"/>
      <c r="H70" s="193"/>
      <c r="J70" s="191"/>
    </row>
    <row r="71" spans="1:11" x14ac:dyDescent="0.35">
      <c r="A71" s="565" t="s">
        <v>239</v>
      </c>
      <c r="B71" s="737"/>
      <c r="C71" s="686"/>
      <c r="D71" s="331"/>
      <c r="E71" s="345">
        <f>IF(D71&gt;0,D71/D71,1)</f>
        <v>1</v>
      </c>
      <c r="F71" s="115"/>
      <c r="G71" s="115"/>
      <c r="H71" s="193"/>
      <c r="I71" s="389" t="str">
        <f>+IF(AND(D72&gt;D71,D71&gt;0),"Achtung: Die Gesamtzahl der Plätze muss größer sein als die Platzzahl des hier berechneten Angebots","")</f>
        <v/>
      </c>
      <c r="J71" s="191"/>
    </row>
    <row r="72" spans="1:11" x14ac:dyDescent="0.35">
      <c r="A72" s="338" t="s">
        <v>212</v>
      </c>
      <c r="B72" s="865"/>
      <c r="C72" s="348">
        <f>+Stammdaten!B5</f>
        <v>0</v>
      </c>
      <c r="D72" s="347">
        <f>+Stammdaten!B7</f>
        <v>0</v>
      </c>
      <c r="E72" s="346">
        <f>IF(D71&gt;0,D72/D71,0)</f>
        <v>0</v>
      </c>
      <c r="F72" s="115"/>
      <c r="G72" s="115"/>
      <c r="H72" s="193"/>
      <c r="J72" s="191"/>
    </row>
    <row r="73" spans="1:11" x14ac:dyDescent="0.35">
      <c r="A73" s="333"/>
      <c r="B73" s="70"/>
      <c r="C73" s="334"/>
      <c r="D73" s="113"/>
      <c r="E73" s="115"/>
      <c r="F73" s="115"/>
      <c r="G73" s="115"/>
      <c r="H73" s="193"/>
      <c r="J73" s="191"/>
    </row>
    <row r="74" spans="1:11" x14ac:dyDescent="0.35">
      <c r="A74" s="231"/>
      <c r="B74" s="74"/>
      <c r="C74" s="115"/>
      <c r="D74" s="115"/>
      <c r="E74" s="115"/>
      <c r="F74" s="115"/>
      <c r="G74" s="115"/>
      <c r="H74" s="193"/>
      <c r="J74" s="191"/>
    </row>
    <row r="75" spans="1:11" ht="21" x14ac:dyDescent="0.5">
      <c r="A75" s="866" t="s">
        <v>229</v>
      </c>
      <c r="B75" s="867">
        <f>+Stammdaten!B5</f>
        <v>0</v>
      </c>
      <c r="C75" s="518"/>
      <c r="D75" s="518"/>
      <c r="E75" s="115"/>
      <c r="F75" s="115"/>
      <c r="G75" s="115"/>
      <c r="H75" s="193"/>
      <c r="J75" s="191"/>
    </row>
    <row r="76" spans="1:11" ht="18.5" x14ac:dyDescent="0.45">
      <c r="A76" s="578" t="s">
        <v>273</v>
      </c>
      <c r="B76" s="861"/>
      <c r="C76" s="846"/>
      <c r="D76" s="847"/>
      <c r="E76" s="115"/>
      <c r="F76" s="115"/>
      <c r="G76" s="115"/>
      <c r="H76" s="193"/>
      <c r="J76" s="198"/>
    </row>
    <row r="77" spans="1:11" ht="15.5" x14ac:dyDescent="0.35">
      <c r="A77" s="110"/>
      <c r="B77" s="812"/>
      <c r="C77" s="813"/>
      <c r="D77" s="868"/>
      <c r="E77" s="115"/>
      <c r="F77" s="115"/>
      <c r="G77" s="115"/>
      <c r="H77" s="193"/>
    </row>
    <row r="78" spans="1:11" x14ac:dyDescent="0.35">
      <c r="A78" s="814" t="s">
        <v>57</v>
      </c>
      <c r="B78" s="579"/>
      <c r="C78" s="579"/>
      <c r="D78" s="290"/>
      <c r="E78" s="115"/>
      <c r="F78" s="115"/>
      <c r="G78" s="115"/>
      <c r="H78" s="193"/>
    </row>
    <row r="79" spans="1:11" x14ac:dyDescent="0.35">
      <c r="A79" s="31" t="s">
        <v>58</v>
      </c>
      <c r="B79" s="3" t="s">
        <v>59</v>
      </c>
      <c r="C79" s="3"/>
      <c r="D79" s="269">
        <f>+C29*E72</f>
        <v>0</v>
      </c>
      <c r="E79" s="115"/>
      <c r="F79" s="115"/>
      <c r="G79" s="115"/>
      <c r="H79" s="203"/>
      <c r="J79" s="78"/>
      <c r="K79" s="78"/>
    </row>
    <row r="80" spans="1:11" x14ac:dyDescent="0.35">
      <c r="A80" s="31" t="s">
        <v>60</v>
      </c>
      <c r="B80" s="3" t="s">
        <v>61</v>
      </c>
      <c r="C80" s="3"/>
      <c r="D80" s="269">
        <f>+D29*E72</f>
        <v>0</v>
      </c>
      <c r="E80" s="115"/>
      <c r="F80" s="115"/>
      <c r="G80" s="115"/>
      <c r="H80" s="203"/>
      <c r="J80" s="78"/>
      <c r="K80" s="78"/>
    </row>
    <row r="81" spans="1:11" x14ac:dyDescent="0.35">
      <c r="A81" s="723" t="s">
        <v>62</v>
      </c>
      <c r="B81" s="37" t="s">
        <v>63</v>
      </c>
      <c r="C81" s="869"/>
      <c r="D81" s="269">
        <f>+E29*E72</f>
        <v>0</v>
      </c>
      <c r="E81" s="190"/>
      <c r="F81" s="190"/>
      <c r="G81" s="115"/>
      <c r="H81" s="203"/>
      <c r="J81" s="78"/>
      <c r="K81" s="78"/>
    </row>
    <row r="82" spans="1:11" x14ac:dyDescent="0.35">
      <c r="A82" s="723" t="s">
        <v>64</v>
      </c>
      <c r="B82" s="37" t="s">
        <v>65</v>
      </c>
      <c r="C82" s="869"/>
      <c r="D82" s="269">
        <f>+F29*E72</f>
        <v>0</v>
      </c>
      <c r="E82" s="190"/>
      <c r="F82" s="190"/>
      <c r="G82" s="115"/>
      <c r="H82" s="203"/>
      <c r="J82" s="78"/>
      <c r="K82" s="78"/>
    </row>
    <row r="83" spans="1:11" x14ac:dyDescent="0.35">
      <c r="A83" s="31" t="s">
        <v>66</v>
      </c>
      <c r="B83" s="3" t="s">
        <v>67</v>
      </c>
      <c r="C83" s="3"/>
      <c r="D83" s="269">
        <f>+G29*E72</f>
        <v>0</v>
      </c>
      <c r="E83" s="115"/>
      <c r="F83" s="115"/>
      <c r="G83" s="115"/>
      <c r="H83" s="203"/>
      <c r="J83" s="204"/>
      <c r="K83" s="78"/>
    </row>
    <row r="84" spans="1:11" ht="15.5" x14ac:dyDescent="0.35">
      <c r="A84" s="816" t="s">
        <v>68</v>
      </c>
      <c r="B84" s="817"/>
      <c r="C84" s="818"/>
      <c r="D84" s="264">
        <f>SUM(D79:D83)</f>
        <v>0</v>
      </c>
      <c r="E84" s="115"/>
      <c r="F84" s="115"/>
      <c r="G84" s="115"/>
      <c r="H84" s="193"/>
      <c r="J84" s="108" t="s">
        <v>6</v>
      </c>
      <c r="K84" s="162">
        <f>+H29*E72-D84</f>
        <v>0</v>
      </c>
    </row>
    <row r="85" spans="1:11" ht="15.5" x14ac:dyDescent="0.35">
      <c r="A85" s="870"/>
      <c r="B85" s="812"/>
      <c r="C85" s="813"/>
      <c r="D85" s="871"/>
      <c r="E85" s="115"/>
      <c r="F85" s="115"/>
      <c r="G85" s="115"/>
      <c r="H85" s="193"/>
      <c r="J85" s="205"/>
      <c r="K85" s="78"/>
    </row>
    <row r="86" spans="1:11" ht="15.5" x14ac:dyDescent="0.35">
      <c r="A86" s="816" t="s">
        <v>69</v>
      </c>
      <c r="B86" s="817"/>
      <c r="C86" s="818"/>
      <c r="D86" s="272"/>
      <c r="E86" s="115"/>
      <c r="F86" s="115"/>
      <c r="G86" s="115"/>
      <c r="H86" s="203"/>
      <c r="J86" s="78"/>
      <c r="K86" s="78"/>
    </row>
    <row r="87" spans="1:11" x14ac:dyDescent="0.35">
      <c r="A87" s="31"/>
      <c r="B87" s="3"/>
      <c r="C87" s="819"/>
      <c r="D87" s="269"/>
      <c r="E87" s="115"/>
      <c r="F87" s="115"/>
      <c r="G87" s="115"/>
      <c r="H87" s="203"/>
      <c r="J87" s="78"/>
      <c r="K87" s="78"/>
    </row>
    <row r="88" spans="1:11" x14ac:dyDescent="0.35">
      <c r="A88" s="31" t="str">
        <f t="shared" ref="A88:B90" si="4">A80</f>
        <v>Kostengruppe 300</v>
      </c>
      <c r="B88" s="3" t="str">
        <f t="shared" si="4"/>
        <v>Bauwerk - Baukonstruktion</v>
      </c>
      <c r="C88" s="268">
        <f>IF(D80&gt;0,D80/(D80+D81+D82),0)</f>
        <v>0</v>
      </c>
      <c r="D88" s="273">
        <f>+C88*D91</f>
        <v>0</v>
      </c>
      <c r="E88" s="209"/>
      <c r="F88" s="209"/>
      <c r="G88" s="115"/>
      <c r="H88" s="214"/>
      <c r="J88" s="205"/>
      <c r="K88" s="78"/>
    </row>
    <row r="89" spans="1:11" x14ac:dyDescent="0.35">
      <c r="A89" s="723" t="str">
        <f t="shared" si="4"/>
        <v>Kostengruppe 400</v>
      </c>
      <c r="B89" s="3" t="str">
        <f t="shared" si="4"/>
        <v>Bauwerk - Technische Anlagen</v>
      </c>
      <c r="C89" s="268">
        <f>IF(D81&gt;0,D81/(D80+D81+D82),0)</f>
        <v>0</v>
      </c>
      <c r="D89" s="273">
        <f>+C89*$D$91</f>
        <v>0</v>
      </c>
      <c r="E89" s="190"/>
      <c r="F89" s="190"/>
      <c r="G89" s="115"/>
      <c r="H89" s="214"/>
      <c r="J89" s="205"/>
      <c r="K89" s="78"/>
    </row>
    <row r="90" spans="1:11" x14ac:dyDescent="0.35">
      <c r="A90" s="723" t="str">
        <f t="shared" si="4"/>
        <v>Kostengruppe 500</v>
      </c>
      <c r="B90" s="3" t="str">
        <f t="shared" si="4"/>
        <v>Außenanlagen</v>
      </c>
      <c r="C90" s="268">
        <f>IF(D82&gt;0,D82/(D80+D81+D82),0)</f>
        <v>0</v>
      </c>
      <c r="D90" s="273">
        <f>+C90*$D$91</f>
        <v>0</v>
      </c>
      <c r="E90" s="190"/>
      <c r="F90" s="190"/>
      <c r="G90" s="115"/>
      <c r="H90" s="214"/>
      <c r="J90" s="205"/>
      <c r="K90" s="78"/>
    </row>
    <row r="91" spans="1:11" ht="15.5" x14ac:dyDescent="0.35">
      <c r="A91" s="816" t="s">
        <v>70</v>
      </c>
      <c r="B91" s="817"/>
      <c r="C91" s="274">
        <f>+SUM(C88:C90)</f>
        <v>0</v>
      </c>
      <c r="D91" s="272">
        <f>+B36*E72</f>
        <v>0</v>
      </c>
      <c r="E91" s="115"/>
      <c r="F91" s="115"/>
      <c r="G91" s="115"/>
      <c r="H91" s="215"/>
      <c r="J91" s="108" t="s">
        <v>6</v>
      </c>
      <c r="K91" s="162">
        <f>+B36*E72-D91</f>
        <v>0</v>
      </c>
    </row>
    <row r="92" spans="1:11" x14ac:dyDescent="0.35">
      <c r="A92" s="872"/>
      <c r="B92" s="613"/>
      <c r="C92" s="873"/>
      <c r="D92" s="874"/>
      <c r="E92" s="115"/>
      <c r="F92" s="115"/>
      <c r="G92" s="115"/>
      <c r="H92" s="193"/>
    </row>
    <row r="93" spans="1:11" ht="15.5" x14ac:dyDescent="0.35">
      <c r="A93" s="821" t="s">
        <v>71</v>
      </c>
      <c r="B93" s="817"/>
      <c r="C93" s="818"/>
      <c r="D93" s="822"/>
      <c r="E93" s="115"/>
      <c r="F93" s="115"/>
      <c r="G93" s="115"/>
      <c r="H93" s="193"/>
    </row>
    <row r="94" spans="1:11" x14ac:dyDescent="0.35">
      <c r="A94" s="31" t="str">
        <f>A88</f>
        <v>Kostengruppe 300</v>
      </c>
      <c r="B94" s="3" t="str">
        <f t="shared" ref="B94:B96" si="5">B80</f>
        <v>Bauwerk - Baukonstruktion</v>
      </c>
      <c r="C94" s="268">
        <v>0.02</v>
      </c>
      <c r="D94" s="269">
        <f>(D80-D88)*C94</f>
        <v>0</v>
      </c>
      <c r="E94" s="115"/>
      <c r="F94" s="115"/>
      <c r="G94" s="115"/>
      <c r="H94" s="193"/>
    </row>
    <row r="95" spans="1:11" x14ac:dyDescent="0.35">
      <c r="A95" s="723" t="str">
        <f>A89</f>
        <v>Kostengruppe 400</v>
      </c>
      <c r="B95" s="3" t="str">
        <f t="shared" si="5"/>
        <v>Bauwerk - Technische Anlagen</v>
      </c>
      <c r="C95" s="268">
        <v>6.6699999999999995E-2</v>
      </c>
      <c r="D95" s="269">
        <f>(D81-D89)*C95</f>
        <v>0</v>
      </c>
      <c r="E95" s="335"/>
      <c r="F95" s="335"/>
      <c r="G95" s="115"/>
      <c r="H95" s="220"/>
      <c r="J95" s="221"/>
    </row>
    <row r="96" spans="1:11" x14ac:dyDescent="0.35">
      <c r="A96" s="723" t="str">
        <f>A90</f>
        <v>Kostengruppe 500</v>
      </c>
      <c r="B96" s="3" t="str">
        <f t="shared" si="5"/>
        <v>Außenanlagen</v>
      </c>
      <c r="C96" s="268">
        <v>0.04</v>
      </c>
      <c r="D96" s="269">
        <f>(D82-D90)*C96</f>
        <v>0</v>
      </c>
      <c r="E96" s="335"/>
      <c r="F96" s="335"/>
      <c r="G96" s="115"/>
      <c r="H96" s="222"/>
      <c r="J96" s="221"/>
    </row>
    <row r="97" spans="1:11" x14ac:dyDescent="0.35">
      <c r="A97" s="875"/>
      <c r="B97" s="579"/>
      <c r="C97" s="818"/>
      <c r="D97" s="876"/>
      <c r="E97" s="115"/>
      <c r="F97" s="115"/>
      <c r="G97" s="115"/>
      <c r="H97" s="193"/>
    </row>
    <row r="98" spans="1:11" x14ac:dyDescent="0.35">
      <c r="A98" s="723" t="str">
        <f>A83</f>
        <v>Kostengruppe 600</v>
      </c>
      <c r="B98" s="518" t="str">
        <f>B83</f>
        <v>Ausstattung</v>
      </c>
      <c r="C98" s="275">
        <v>0.125</v>
      </c>
      <c r="D98" s="276">
        <f>D83*C98</f>
        <v>0</v>
      </c>
      <c r="E98" s="115"/>
      <c r="F98" s="115"/>
      <c r="G98" s="115"/>
      <c r="H98" s="193"/>
    </row>
    <row r="99" spans="1:11" x14ac:dyDescent="0.35">
      <c r="A99" s="814" t="s">
        <v>72</v>
      </c>
      <c r="B99" s="579"/>
      <c r="C99" s="818"/>
      <c r="D99" s="272">
        <f>SUM(D94:D98)</f>
        <v>0</v>
      </c>
      <c r="E99" s="115"/>
      <c r="F99" s="336"/>
      <c r="G99" s="115"/>
      <c r="H99" s="193"/>
    </row>
    <row r="100" spans="1:11" x14ac:dyDescent="0.35">
      <c r="A100" s="110"/>
      <c r="B100" s="518"/>
      <c r="C100" s="616"/>
      <c r="D100" s="877"/>
      <c r="E100" s="115"/>
      <c r="F100" s="115"/>
      <c r="G100" s="115"/>
      <c r="H100" s="193"/>
    </row>
    <row r="101" spans="1:11" ht="15.5" x14ac:dyDescent="0.35">
      <c r="A101" s="821" t="s">
        <v>78</v>
      </c>
      <c r="B101" s="817"/>
      <c r="C101" s="818"/>
      <c r="D101" s="272"/>
      <c r="E101" s="115"/>
      <c r="F101" s="115"/>
      <c r="G101" s="115"/>
      <c r="H101" s="193"/>
    </row>
    <row r="102" spans="1:11" x14ac:dyDescent="0.35">
      <c r="A102" s="291"/>
      <c r="B102" s="826" t="s">
        <v>79</v>
      </c>
      <c r="C102" s="827"/>
      <c r="D102" s="278">
        <f>D84+-D79</f>
        <v>0</v>
      </c>
      <c r="E102" s="115"/>
      <c r="F102" s="115"/>
      <c r="G102" s="115"/>
      <c r="H102" s="193"/>
    </row>
    <row r="103" spans="1:11" x14ac:dyDescent="0.35">
      <c r="A103" s="828" t="s">
        <v>77</v>
      </c>
      <c r="B103" s="826" t="s">
        <v>80</v>
      </c>
      <c r="C103" s="829"/>
      <c r="D103" s="279">
        <v>8.0000000000000002E-3</v>
      </c>
      <c r="E103" s="115"/>
      <c r="F103" s="115"/>
      <c r="G103" s="115"/>
      <c r="H103" s="193"/>
    </row>
    <row r="104" spans="1:11" ht="15.5" x14ac:dyDescent="0.35">
      <c r="A104" s="816" t="s">
        <v>81</v>
      </c>
      <c r="B104" s="817"/>
      <c r="C104" s="818"/>
      <c r="D104" s="272">
        <f>D102*D103</f>
        <v>0</v>
      </c>
      <c r="E104" s="115"/>
      <c r="F104" s="115"/>
      <c r="G104" s="115"/>
      <c r="H104" s="193"/>
    </row>
    <row r="105" spans="1:11" x14ac:dyDescent="0.35">
      <c r="A105" s="110"/>
      <c r="B105" s="518"/>
      <c r="C105" s="616"/>
      <c r="D105" s="877"/>
      <c r="E105" s="115"/>
      <c r="F105" s="115"/>
      <c r="G105" s="115"/>
      <c r="H105" s="193"/>
    </row>
    <row r="106" spans="1:11" ht="16" hidden="1" customHeight="1" x14ac:dyDescent="0.35">
      <c r="A106" s="821" t="s">
        <v>9</v>
      </c>
      <c r="B106" s="817"/>
      <c r="C106" s="818"/>
      <c r="D106" s="272"/>
      <c r="E106" s="115"/>
      <c r="F106" s="115"/>
      <c r="G106" s="115"/>
      <c r="H106" s="193"/>
    </row>
    <row r="107" spans="1:11" ht="15" hidden="1" customHeight="1" x14ac:dyDescent="0.35">
      <c r="A107" s="878" t="s">
        <v>172</v>
      </c>
      <c r="B107" s="3"/>
      <c r="C107" s="879"/>
      <c r="D107" s="32" t="s">
        <v>171</v>
      </c>
      <c r="E107" s="115"/>
      <c r="F107" s="115"/>
      <c r="G107" s="115"/>
      <c r="H107" s="193"/>
    </row>
    <row r="108" spans="1:11" ht="15" hidden="1" customHeight="1" x14ac:dyDescent="0.35">
      <c r="A108" s="880" t="str">
        <f>+A56</f>
        <v>Position 1</v>
      </c>
      <c r="B108" s="881"/>
      <c r="C108" s="882"/>
      <c r="D108" s="284">
        <f>+D56*E72</f>
        <v>0</v>
      </c>
      <c r="E108" s="115"/>
      <c r="F108" s="115"/>
      <c r="G108" s="115"/>
      <c r="H108" s="193"/>
    </row>
    <row r="109" spans="1:11" ht="15" hidden="1" customHeight="1" x14ac:dyDescent="0.35">
      <c r="A109" s="880" t="str">
        <f>+A57</f>
        <v>Position 2</v>
      </c>
      <c r="B109" s="881"/>
      <c r="C109" s="882"/>
      <c r="D109" s="284">
        <f>+D57*E72</f>
        <v>0</v>
      </c>
      <c r="E109" s="115"/>
      <c r="F109" s="115"/>
      <c r="G109" s="115"/>
      <c r="H109" s="193"/>
    </row>
    <row r="110" spans="1:11" ht="15" hidden="1" customHeight="1" x14ac:dyDescent="0.35">
      <c r="A110" s="880" t="str">
        <f>+A58</f>
        <v>Position 3</v>
      </c>
      <c r="B110" s="881"/>
      <c r="C110" s="883"/>
      <c r="D110" s="284">
        <f>+D58*E72</f>
        <v>0</v>
      </c>
      <c r="E110" s="115"/>
      <c r="F110" s="115"/>
      <c r="G110" s="115"/>
      <c r="H110" s="193"/>
    </row>
    <row r="111" spans="1:11" x14ac:dyDescent="0.35">
      <c r="A111" s="578" t="s">
        <v>10</v>
      </c>
      <c r="B111" s="884"/>
      <c r="C111" s="885"/>
      <c r="D111" s="285">
        <f>SUM(D108:D110)</f>
        <v>0</v>
      </c>
      <c r="E111" s="115"/>
      <c r="F111" s="115"/>
      <c r="G111" s="115"/>
      <c r="H111" s="193"/>
      <c r="J111" s="108" t="s">
        <v>6</v>
      </c>
      <c r="K111" s="162">
        <f>+D59*E72-D111</f>
        <v>0</v>
      </c>
    </row>
    <row r="112" spans="1:11" x14ac:dyDescent="0.35">
      <c r="A112" s="681"/>
      <c r="B112" s="612"/>
      <c r="C112" s="615"/>
      <c r="D112" s="886"/>
      <c r="E112" s="115"/>
      <c r="F112" s="115"/>
      <c r="G112" s="115"/>
      <c r="H112" s="193"/>
    </row>
    <row r="113" spans="1:11" x14ac:dyDescent="0.35">
      <c r="A113" s="13" t="s">
        <v>85</v>
      </c>
      <c r="B113" s="605"/>
      <c r="C113" s="887"/>
      <c r="D113" s="888" t="s">
        <v>171</v>
      </c>
      <c r="E113" s="115"/>
      <c r="F113" s="115"/>
      <c r="G113" s="115"/>
      <c r="H113" s="193"/>
    </row>
    <row r="114" spans="1:11" x14ac:dyDescent="0.35">
      <c r="A114" s="880" t="str">
        <f>+A62</f>
        <v>Position 1</v>
      </c>
      <c r="B114" s="881"/>
      <c r="C114" s="882"/>
      <c r="D114" s="284">
        <f>+D62*E72</f>
        <v>0</v>
      </c>
      <c r="E114" s="115"/>
      <c r="F114" s="115"/>
      <c r="G114" s="115"/>
      <c r="H114" s="193"/>
    </row>
    <row r="115" spans="1:11" x14ac:dyDescent="0.35">
      <c r="A115" s="880" t="str">
        <f>+A63</f>
        <v>Position 2</v>
      </c>
      <c r="B115" s="881"/>
      <c r="C115" s="882"/>
      <c r="D115" s="284">
        <f>+D63*E72</f>
        <v>0</v>
      </c>
      <c r="E115" s="115"/>
      <c r="F115" s="115"/>
      <c r="G115" s="115"/>
      <c r="H115" s="193"/>
    </row>
    <row r="116" spans="1:11" x14ac:dyDescent="0.35">
      <c r="A116" s="880" t="str">
        <f>+A64</f>
        <v>Position 3</v>
      </c>
      <c r="B116" s="881"/>
      <c r="C116" s="883"/>
      <c r="D116" s="284">
        <f>+D64*E72</f>
        <v>0</v>
      </c>
      <c r="E116" s="115"/>
      <c r="F116" s="115"/>
      <c r="G116" s="115"/>
      <c r="H116" s="193"/>
    </row>
    <row r="117" spans="1:11" x14ac:dyDescent="0.35">
      <c r="A117" s="578" t="s">
        <v>10</v>
      </c>
      <c r="B117" s="884"/>
      <c r="C117" s="885"/>
      <c r="D117" s="285">
        <f>SUM(D114:D116)</f>
        <v>0</v>
      </c>
      <c r="E117" s="115"/>
      <c r="F117" s="115"/>
      <c r="G117" s="115"/>
      <c r="H117" s="193"/>
      <c r="J117" s="108" t="s">
        <v>6</v>
      </c>
      <c r="K117" s="162">
        <f>+D65*E72-D117</f>
        <v>0</v>
      </c>
    </row>
    <row r="118" spans="1:11" x14ac:dyDescent="0.35">
      <c r="A118" s="110"/>
      <c r="B118" s="518"/>
      <c r="C118" s="616"/>
      <c r="D118" s="889"/>
      <c r="E118" s="115"/>
      <c r="F118" s="115"/>
      <c r="G118" s="115"/>
      <c r="H118" s="193"/>
    </row>
    <row r="119" spans="1:11" ht="15.5" x14ac:dyDescent="0.35">
      <c r="A119" s="821" t="s">
        <v>86</v>
      </c>
      <c r="B119" s="817"/>
      <c r="C119" s="818"/>
      <c r="D119" s="272">
        <f>D117+D111</f>
        <v>0</v>
      </c>
      <c r="E119" s="115"/>
      <c r="F119" s="115"/>
      <c r="G119" s="115"/>
      <c r="H119" s="193"/>
      <c r="J119" s="108" t="s">
        <v>6</v>
      </c>
      <c r="K119" s="162">
        <f>+D67*E72-D119</f>
        <v>0</v>
      </c>
    </row>
    <row r="120" spans="1:11" x14ac:dyDescent="0.35">
      <c r="A120" s="110"/>
      <c r="B120" s="518"/>
      <c r="C120" s="616"/>
      <c r="D120" s="877"/>
      <c r="E120" s="115"/>
      <c r="F120" s="115"/>
      <c r="G120" s="115"/>
      <c r="H120" s="193"/>
    </row>
    <row r="121" spans="1:11" x14ac:dyDescent="0.35">
      <c r="A121" s="110"/>
      <c r="B121" s="518"/>
      <c r="C121" s="616"/>
      <c r="D121" s="877"/>
      <c r="E121" s="115"/>
      <c r="F121" s="115"/>
      <c r="G121" s="115"/>
      <c r="H121" s="193"/>
    </row>
    <row r="122" spans="1:11" ht="15.5" x14ac:dyDescent="0.35">
      <c r="A122" s="821" t="s">
        <v>87</v>
      </c>
      <c r="B122" s="817"/>
      <c r="C122" s="818"/>
      <c r="D122" s="830"/>
      <c r="E122" s="115"/>
      <c r="F122" s="115"/>
      <c r="G122" s="115"/>
      <c r="H122" s="193"/>
    </row>
    <row r="123" spans="1:11" x14ac:dyDescent="0.35">
      <c r="A123" s="561" t="s">
        <v>70</v>
      </c>
      <c r="B123" s="32" t="s">
        <v>173</v>
      </c>
      <c r="C123" s="879"/>
      <c r="D123" s="890"/>
      <c r="E123" s="115"/>
      <c r="F123" s="115"/>
      <c r="G123" s="115"/>
      <c r="H123" s="234"/>
    </row>
    <row r="124" spans="1:11" x14ac:dyDescent="0.35">
      <c r="A124" s="891" t="str">
        <f>+A33</f>
        <v>Position 1</v>
      </c>
      <c r="B124" s="281">
        <f>+B33*E72</f>
        <v>0</v>
      </c>
      <c r="C124" s="892"/>
      <c r="D124" s="893"/>
      <c r="E124" s="115"/>
      <c r="F124" s="115"/>
      <c r="G124" s="115"/>
      <c r="H124" s="239"/>
    </row>
    <row r="125" spans="1:11" x14ac:dyDescent="0.35">
      <c r="A125" s="891" t="str">
        <f>+A34</f>
        <v>Position 2</v>
      </c>
      <c r="B125" s="281">
        <f>+B34*E72</f>
        <v>0</v>
      </c>
      <c r="C125" s="892"/>
      <c r="D125" s="893"/>
      <c r="E125" s="115"/>
      <c r="F125" s="115"/>
      <c r="G125" s="115"/>
      <c r="H125" s="193"/>
    </row>
    <row r="126" spans="1:11" x14ac:dyDescent="0.35">
      <c r="A126" s="891" t="str">
        <f>+A35</f>
        <v>Position 3</v>
      </c>
      <c r="B126" s="281">
        <f>+B35*E72</f>
        <v>0</v>
      </c>
      <c r="C126" s="894"/>
      <c r="D126" s="893"/>
      <c r="E126" s="115"/>
      <c r="F126" s="115"/>
      <c r="G126" s="115"/>
      <c r="H126" s="193"/>
    </row>
    <row r="127" spans="1:11" x14ac:dyDescent="0.35">
      <c r="A127" s="856" t="s">
        <v>70</v>
      </c>
      <c r="B127" s="280">
        <f>SUM(B124:B126)</f>
        <v>0</v>
      </c>
      <c r="C127" s="892"/>
      <c r="D127" s="893"/>
      <c r="E127" s="115"/>
      <c r="F127" s="115"/>
      <c r="G127" s="115"/>
      <c r="H127" s="193"/>
      <c r="J127" s="108" t="s">
        <v>6</v>
      </c>
      <c r="K127" s="162">
        <f>+B36*E72-B127</f>
        <v>0</v>
      </c>
    </row>
    <row r="128" spans="1:11" x14ac:dyDescent="0.35">
      <c r="A128" s="110"/>
      <c r="B128" s="895"/>
      <c r="C128" s="616"/>
      <c r="D128" s="852"/>
      <c r="E128" s="115"/>
      <c r="F128" s="115"/>
      <c r="G128" s="115"/>
      <c r="H128" s="193"/>
    </row>
    <row r="129" spans="1:11" x14ac:dyDescent="0.35">
      <c r="A129" s="561" t="s">
        <v>88</v>
      </c>
      <c r="B129" s="32" t="s">
        <v>173</v>
      </c>
      <c r="C129" s="831" t="s">
        <v>167</v>
      </c>
      <c r="D129" s="890"/>
      <c r="E129" s="115"/>
      <c r="F129" s="115"/>
      <c r="G129" s="115"/>
      <c r="H129" s="193"/>
    </row>
    <row r="130" spans="1:11" x14ac:dyDescent="0.35">
      <c r="A130" s="832" t="str">
        <f>+A39</f>
        <v>Position 1</v>
      </c>
      <c r="B130" s="286">
        <f>+B39*E72</f>
        <v>0</v>
      </c>
      <c r="C130" s="282">
        <f>+C39</f>
        <v>0</v>
      </c>
      <c r="D130" s="284">
        <f>B130*C130</f>
        <v>0</v>
      </c>
      <c r="E130" s="115"/>
      <c r="F130" s="115"/>
      <c r="G130" s="115"/>
      <c r="H130" s="193"/>
    </row>
    <row r="131" spans="1:11" x14ac:dyDescent="0.35">
      <c r="A131" s="832" t="str">
        <f>+A40</f>
        <v>Position 2</v>
      </c>
      <c r="B131" s="286">
        <f>+B40*E72</f>
        <v>0</v>
      </c>
      <c r="C131" s="282">
        <f>+C40</f>
        <v>0</v>
      </c>
      <c r="D131" s="284">
        <f>B131*C131</f>
        <v>0</v>
      </c>
      <c r="E131" s="115"/>
      <c r="F131" s="115"/>
      <c r="G131" s="115"/>
      <c r="H131" s="193"/>
    </row>
    <row r="132" spans="1:11" x14ac:dyDescent="0.35">
      <c r="A132" s="832" t="str">
        <f>+A41</f>
        <v>Grundstück</v>
      </c>
      <c r="B132" s="286">
        <f>+B41*E72</f>
        <v>0</v>
      </c>
      <c r="C132" s="282">
        <f>+C41</f>
        <v>0</v>
      </c>
      <c r="D132" s="284">
        <f>B132*C132</f>
        <v>0</v>
      </c>
      <c r="E132" s="115"/>
      <c r="F132" s="115"/>
      <c r="G132" s="115"/>
      <c r="H132" s="193"/>
    </row>
    <row r="133" spans="1:11" x14ac:dyDescent="0.35">
      <c r="A133" s="832" t="str">
        <f>+A42</f>
        <v>Position 4</v>
      </c>
      <c r="B133" s="286">
        <f>+B42*E72</f>
        <v>0</v>
      </c>
      <c r="C133" s="282">
        <f>+C42</f>
        <v>0</v>
      </c>
      <c r="D133" s="284"/>
      <c r="E133" s="115"/>
      <c r="F133" s="115"/>
      <c r="G133" s="115"/>
      <c r="H133" s="193"/>
    </row>
    <row r="134" spans="1:11" x14ac:dyDescent="0.35">
      <c r="A134" s="856" t="s">
        <v>89</v>
      </c>
      <c r="B134" s="280">
        <f>SUM(B130:B133)</f>
        <v>0</v>
      </c>
      <c r="C134" s="283" t="e">
        <f>((B132*C132)+(B130*C130)+(B133*C133)+(B131*C131))/B134</f>
        <v>#DIV/0!</v>
      </c>
      <c r="D134" s="285">
        <f>SUM(D130:D133)</f>
        <v>0</v>
      </c>
      <c r="E134" s="115"/>
      <c r="F134" s="115"/>
      <c r="G134" s="115"/>
      <c r="H134" s="193"/>
      <c r="J134" s="108" t="s">
        <v>6</v>
      </c>
      <c r="K134" s="162">
        <f>+B43*E72-B134</f>
        <v>0</v>
      </c>
    </row>
    <row r="135" spans="1:11" x14ac:dyDescent="0.35">
      <c r="A135" s="110"/>
      <c r="B135" s="518"/>
      <c r="C135" s="616"/>
      <c r="D135" s="889"/>
      <c r="E135" s="115"/>
      <c r="F135" s="115"/>
      <c r="G135" s="115"/>
      <c r="H135" s="193"/>
    </row>
    <row r="136" spans="1:11" x14ac:dyDescent="0.35">
      <c r="A136" s="561" t="s">
        <v>90</v>
      </c>
      <c r="B136" s="32" t="s">
        <v>173</v>
      </c>
      <c r="C136" s="831" t="s">
        <v>167</v>
      </c>
      <c r="D136" s="896"/>
      <c r="E136" s="115"/>
      <c r="F136" s="115"/>
      <c r="G136" s="115"/>
      <c r="H136" s="193"/>
    </row>
    <row r="137" spans="1:11" x14ac:dyDescent="0.35">
      <c r="A137" s="833" t="str">
        <f>+A46</f>
        <v>Eigenmittel</v>
      </c>
      <c r="B137" s="286">
        <f>+D84-B127-B134-B138-B139-B140</f>
        <v>0</v>
      </c>
      <c r="C137" s="282">
        <f>+C46</f>
        <v>1.4999999999999999E-2</v>
      </c>
      <c r="D137" s="287">
        <f>B137*C137</f>
        <v>0</v>
      </c>
      <c r="E137" s="115"/>
      <c r="F137" s="115"/>
      <c r="G137" s="115"/>
      <c r="H137" s="193"/>
    </row>
    <row r="138" spans="1:11" x14ac:dyDescent="0.35">
      <c r="A138" s="833" t="str">
        <f>+A47</f>
        <v>EM-Ersatz (z.B. Aktion Mensch)</v>
      </c>
      <c r="B138" s="281">
        <f>+B47*E72</f>
        <v>0</v>
      </c>
      <c r="C138" s="282">
        <f>+C47</f>
        <v>0</v>
      </c>
      <c r="D138" s="287">
        <f>B138*C138</f>
        <v>0</v>
      </c>
      <c r="E138" s="115"/>
      <c r="F138" s="115"/>
      <c r="G138" s="115"/>
      <c r="H138" s="193"/>
    </row>
    <row r="139" spans="1:11" x14ac:dyDescent="0.35">
      <c r="A139" s="833" t="str">
        <f>+A48</f>
        <v>Position 3</v>
      </c>
      <c r="B139" s="281">
        <f>+B48*E72</f>
        <v>0</v>
      </c>
      <c r="C139" s="282">
        <f>+C48</f>
        <v>1.4999999999999999E-2</v>
      </c>
      <c r="D139" s="287">
        <f>B139*C139</f>
        <v>0</v>
      </c>
      <c r="E139" s="115"/>
      <c r="F139" s="115"/>
      <c r="G139" s="115"/>
      <c r="H139" s="193"/>
    </row>
    <row r="140" spans="1:11" x14ac:dyDescent="0.35">
      <c r="A140" s="833" t="str">
        <f>+A49</f>
        <v>Position 4</v>
      </c>
      <c r="B140" s="281">
        <f>+B49*E72</f>
        <v>0</v>
      </c>
      <c r="C140" s="282">
        <f>+C49</f>
        <v>1.4999999999999999E-2</v>
      </c>
      <c r="D140" s="287">
        <f>B140*C140</f>
        <v>0</v>
      </c>
      <c r="E140" s="115"/>
      <c r="F140" s="115"/>
      <c r="G140" s="115"/>
      <c r="H140" s="193"/>
    </row>
    <row r="141" spans="1:11" x14ac:dyDescent="0.35">
      <c r="A141" s="856" t="s">
        <v>91</v>
      </c>
      <c r="B141" s="280">
        <f>SUM(B137:B140)</f>
        <v>0</v>
      </c>
      <c r="C141" s="283" t="e">
        <f>((B139*C139)+(B137*C137)+(B140*C140)+(B138*C138))/B141</f>
        <v>#DIV/0!</v>
      </c>
      <c r="D141" s="288">
        <f>SUM(D137:D140)</f>
        <v>0</v>
      </c>
      <c r="E141" s="115"/>
      <c r="F141" s="115"/>
      <c r="G141" s="115"/>
      <c r="H141" s="193"/>
      <c r="J141" s="108" t="s">
        <v>6</v>
      </c>
      <c r="K141" s="162">
        <f>+B50*E72-B141</f>
        <v>0</v>
      </c>
    </row>
    <row r="142" spans="1:11" x14ac:dyDescent="0.35">
      <c r="A142" s="857"/>
      <c r="B142" s="858"/>
      <c r="C142" s="859"/>
      <c r="D142" s="860"/>
      <c r="E142" s="115"/>
      <c r="F142" s="115"/>
      <c r="G142" s="115"/>
      <c r="H142" s="193"/>
      <c r="J142" s="250"/>
    </row>
    <row r="143" spans="1:11" ht="15.5" x14ac:dyDescent="0.35">
      <c r="A143" s="816" t="s">
        <v>92</v>
      </c>
      <c r="B143" s="289">
        <f>+B127+B134+B141</f>
        <v>0</v>
      </c>
      <c r="C143" s="579"/>
      <c r="D143" s="264">
        <f>D141+D134</f>
        <v>0</v>
      </c>
      <c r="E143" s="251"/>
      <c r="F143" s="251"/>
      <c r="G143" s="115"/>
      <c r="H143" s="193"/>
      <c r="J143" s="108" t="s">
        <v>6</v>
      </c>
      <c r="K143" s="162">
        <f>+B143-D84</f>
        <v>0</v>
      </c>
    </row>
    <row r="144" spans="1:11" x14ac:dyDescent="0.35">
      <c r="A144" s="110"/>
      <c r="B144" s="518"/>
      <c r="C144" s="616"/>
      <c r="D144" s="877"/>
      <c r="E144" s="115"/>
      <c r="F144" s="115"/>
      <c r="G144" s="115"/>
      <c r="H144" s="193"/>
    </row>
    <row r="145" spans="1:11" ht="15.5" x14ac:dyDescent="0.35">
      <c r="A145" s="816" t="s">
        <v>11</v>
      </c>
      <c r="B145" s="289"/>
      <c r="C145" s="818"/>
      <c r="D145" s="830"/>
      <c r="E145" s="115"/>
      <c r="F145" s="115"/>
      <c r="G145" s="115"/>
      <c r="H145" s="193"/>
    </row>
    <row r="146" spans="1:11" x14ac:dyDescent="0.35">
      <c r="A146" s="564" t="s">
        <v>12</v>
      </c>
      <c r="B146" s="677"/>
      <c r="C146" s="677"/>
      <c r="D146" s="270">
        <f>+D94+D95+D96</f>
        <v>0</v>
      </c>
      <c r="E146" s="115"/>
      <c r="F146" s="115"/>
      <c r="G146" s="115"/>
      <c r="H146" s="193"/>
    </row>
    <row r="147" spans="1:11" x14ac:dyDescent="0.35">
      <c r="A147" s="565" t="s">
        <v>13</v>
      </c>
      <c r="B147" s="302"/>
      <c r="C147" s="302"/>
      <c r="D147" s="270">
        <f>+D98</f>
        <v>0</v>
      </c>
      <c r="E147" s="115"/>
      <c r="F147" s="115"/>
      <c r="G147" s="115"/>
      <c r="H147" s="193"/>
    </row>
    <row r="148" spans="1:11" x14ac:dyDescent="0.35">
      <c r="A148" s="565" t="s">
        <v>14</v>
      </c>
      <c r="B148" s="302"/>
      <c r="C148" s="302"/>
      <c r="D148" s="269">
        <f>+D104</f>
        <v>0</v>
      </c>
      <c r="E148" s="115"/>
      <c r="F148" s="115"/>
      <c r="G148" s="115"/>
      <c r="H148" s="193"/>
    </row>
    <row r="149" spans="1:11" x14ac:dyDescent="0.35">
      <c r="A149" s="565" t="s">
        <v>9</v>
      </c>
      <c r="B149" s="302"/>
      <c r="C149" s="302"/>
      <c r="D149" s="269">
        <f>+D119</f>
        <v>0</v>
      </c>
      <c r="E149" s="115"/>
      <c r="F149" s="115"/>
      <c r="G149" s="115"/>
      <c r="H149" s="193"/>
    </row>
    <row r="150" spans="1:11" x14ac:dyDescent="0.35">
      <c r="A150" s="565" t="s">
        <v>15</v>
      </c>
      <c r="B150" s="302"/>
      <c r="C150" s="302"/>
      <c r="D150" s="269">
        <f>+D143</f>
        <v>0</v>
      </c>
      <c r="E150" s="115"/>
      <c r="F150" s="115"/>
      <c r="G150" s="115"/>
      <c r="H150" s="193"/>
    </row>
    <row r="151" spans="1:11" x14ac:dyDescent="0.35">
      <c r="A151" s="814" t="s">
        <v>10</v>
      </c>
      <c r="B151" s="793"/>
      <c r="C151" s="793"/>
      <c r="D151" s="349">
        <f>SUM(D146:D150)</f>
        <v>0</v>
      </c>
      <c r="E151" s="115"/>
      <c r="F151" s="115"/>
      <c r="G151" s="115"/>
      <c r="H151" s="193"/>
      <c r="J151" s="78"/>
      <c r="K151" s="130"/>
    </row>
    <row r="152" spans="1:11" x14ac:dyDescent="0.35">
      <c r="A152" s="110"/>
      <c r="B152" s="518"/>
      <c r="C152" s="616"/>
      <c r="D152" s="852"/>
      <c r="E152" s="115"/>
      <c r="F152" s="115"/>
      <c r="G152" s="115"/>
      <c r="H152" s="193"/>
    </row>
    <row r="153" spans="1:11" x14ac:dyDescent="0.35">
      <c r="A153" s="291" t="s">
        <v>16</v>
      </c>
      <c r="B153" s="291">
        <v>365</v>
      </c>
      <c r="C153" s="616"/>
      <c r="D153" s="852"/>
      <c r="E153" s="115"/>
      <c r="F153" s="115"/>
      <c r="G153" s="115"/>
      <c r="H153" s="193"/>
    </row>
    <row r="154" spans="1:11" x14ac:dyDescent="0.35">
      <c r="A154" s="291" t="s">
        <v>153</v>
      </c>
      <c r="B154" s="291">
        <f>+Stammdaten!B7</f>
        <v>0</v>
      </c>
      <c r="C154" s="897"/>
      <c r="D154" s="852"/>
      <c r="E154" s="115"/>
      <c r="F154" s="115"/>
      <c r="G154" s="115"/>
      <c r="H154" s="193"/>
    </row>
    <row r="155" spans="1:11" x14ac:dyDescent="0.35">
      <c r="A155" s="291" t="s">
        <v>18</v>
      </c>
      <c r="B155" s="350">
        <f>+'B_1 Geb. Kaltmiete'!B104</f>
        <v>0.96499999999999997</v>
      </c>
      <c r="C155" s="616"/>
      <c r="D155" s="852"/>
      <c r="E155" s="115"/>
      <c r="F155" s="115"/>
      <c r="G155" s="115"/>
      <c r="H155" s="193"/>
    </row>
    <row r="156" spans="1:11" ht="29.5" thickBot="1" x14ac:dyDescent="0.4">
      <c r="A156" s="835" t="s">
        <v>19</v>
      </c>
      <c r="B156" s="351">
        <f>B155*B154*B153</f>
        <v>0</v>
      </c>
      <c r="C156" s="897"/>
      <c r="D156" s="852"/>
      <c r="E156" s="836" t="s">
        <v>21</v>
      </c>
      <c r="F156" s="836" t="s">
        <v>20</v>
      </c>
      <c r="G156" s="115"/>
      <c r="H156" s="193"/>
    </row>
    <row r="157" spans="1:11" ht="15.75" customHeight="1" thickTop="1" x14ac:dyDescent="0.35">
      <c r="A157" s="110"/>
      <c r="B157" s="518"/>
      <c r="C157" s="616"/>
      <c r="D157" s="852"/>
      <c r="E157" s="837"/>
      <c r="F157" s="837"/>
      <c r="G157" s="115"/>
      <c r="H157" s="193"/>
    </row>
    <row r="158" spans="1:11" ht="14.25" customHeight="1" x14ac:dyDescent="0.35">
      <c r="A158" s="816" t="s">
        <v>224</v>
      </c>
      <c r="B158" s="289"/>
      <c r="C158" s="818"/>
      <c r="D158" s="830"/>
      <c r="E158" s="352">
        <v>0</v>
      </c>
      <c r="F158" s="352">
        <v>1</v>
      </c>
      <c r="G158" s="115"/>
      <c r="H158" s="193"/>
    </row>
    <row r="159" spans="1:11" x14ac:dyDescent="0.35">
      <c r="A159" s="838" t="s">
        <v>12</v>
      </c>
      <c r="B159" s="839"/>
      <c r="C159" s="839"/>
      <c r="D159" s="353" t="e">
        <f>D146/$B$156</f>
        <v>#DIV/0!</v>
      </c>
      <c r="E159" s="898"/>
      <c r="F159" s="899"/>
      <c r="G159" s="115"/>
      <c r="H159" s="193"/>
    </row>
    <row r="160" spans="1:11" x14ac:dyDescent="0.35">
      <c r="A160" s="832" t="s">
        <v>13</v>
      </c>
      <c r="B160" s="840"/>
      <c r="C160" s="840"/>
      <c r="D160" s="295" t="e">
        <f>D147/$B$156</f>
        <v>#DIV/0!</v>
      </c>
      <c r="E160" s="900"/>
      <c r="F160" s="862"/>
      <c r="G160" s="115"/>
      <c r="H160" s="193"/>
    </row>
    <row r="161" spans="1:8" x14ac:dyDescent="0.35">
      <c r="A161" s="832" t="s">
        <v>14</v>
      </c>
      <c r="B161" s="840"/>
      <c r="C161" s="840"/>
      <c r="D161" s="295" t="e">
        <f>D148/$B$156</f>
        <v>#DIV/0!</v>
      </c>
      <c r="E161" s="900"/>
      <c r="F161" s="862"/>
      <c r="G161" s="115"/>
      <c r="H161" s="193"/>
    </row>
    <row r="162" spans="1:8" x14ac:dyDescent="0.35">
      <c r="A162" s="832" t="s">
        <v>9</v>
      </c>
      <c r="B162" s="840"/>
      <c r="C162" s="840"/>
      <c r="D162" s="295" t="e">
        <f>D149/$B$156</f>
        <v>#DIV/0!</v>
      </c>
      <c r="E162" s="900"/>
      <c r="F162" s="862"/>
      <c r="G162" s="115"/>
      <c r="H162" s="193"/>
    </row>
    <row r="163" spans="1:8" x14ac:dyDescent="0.35">
      <c r="A163" s="832" t="s">
        <v>15</v>
      </c>
      <c r="B163" s="840"/>
      <c r="C163" s="840"/>
      <c r="D163" s="295" t="e">
        <f>D150/$B$156</f>
        <v>#DIV/0!</v>
      </c>
      <c r="E163" s="900"/>
      <c r="F163" s="862"/>
      <c r="G163" s="115"/>
      <c r="H163" s="193"/>
    </row>
    <row r="164" spans="1:8" ht="15.5" x14ac:dyDescent="0.35">
      <c r="A164" s="841" t="s">
        <v>237</v>
      </c>
      <c r="B164" s="842"/>
      <c r="C164" s="843" t="s">
        <v>56</v>
      </c>
      <c r="D164" s="354" t="e">
        <f>SUM(D159:D163)</f>
        <v>#DIV/0!</v>
      </c>
      <c r="E164" s="554"/>
      <c r="F164" s="555"/>
      <c r="G164" s="115"/>
      <c r="H164" s="193"/>
    </row>
    <row r="165" spans="1:8" ht="15.5" x14ac:dyDescent="0.35">
      <c r="A165" s="841" t="s">
        <v>237</v>
      </c>
      <c r="B165" s="842"/>
      <c r="C165" s="843" t="s">
        <v>98</v>
      </c>
      <c r="D165" s="354" t="e">
        <f>+D164*365</f>
        <v>#DIV/0!</v>
      </c>
      <c r="E165" s="370"/>
      <c r="F165" s="901"/>
      <c r="G165" s="115"/>
      <c r="H165" s="193"/>
    </row>
    <row r="166" spans="1:8" ht="18.5" x14ac:dyDescent="0.45">
      <c r="A166" s="844" t="s">
        <v>238</v>
      </c>
      <c r="B166" s="845"/>
      <c r="C166" s="792" t="s">
        <v>97</v>
      </c>
      <c r="D166" s="299" t="e">
        <f>+D165/12</f>
        <v>#DIV/0!</v>
      </c>
      <c r="E166" s="299" t="e">
        <f>+D166*E158</f>
        <v>#DIV/0!</v>
      </c>
      <c r="F166" s="299" t="e">
        <f>+D166*F158</f>
        <v>#DIV/0!</v>
      </c>
      <c r="G166" s="252"/>
      <c r="H166" s="337"/>
    </row>
    <row r="167" spans="1:8" x14ac:dyDescent="0.35">
      <c r="A167" s="64"/>
      <c r="B167" s="115"/>
      <c r="C167" s="190"/>
      <c r="D167" s="190"/>
      <c r="E167" s="190"/>
      <c r="F167" s="190"/>
      <c r="G167" s="190"/>
      <c r="H167" s="115"/>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71" priority="11">
      <formula>OR(K29&lt;-0.0009,K29&gt;0.0009)</formula>
    </cfRule>
  </conditionalFormatting>
  <conditionalFormatting sqref="K84">
    <cfRule type="expression" dxfId="70" priority="10">
      <formula>OR(K84&lt;-0.0009,K84&gt;0.0009)</formula>
    </cfRule>
  </conditionalFormatting>
  <conditionalFormatting sqref="K143">
    <cfRule type="expression" dxfId="69" priority="9">
      <formula>OR(K143&lt;-0.0009,K143&gt;0.0009)</formula>
    </cfRule>
  </conditionalFormatting>
  <conditionalFormatting sqref="K91">
    <cfRule type="expression" dxfId="68" priority="8">
      <formula>OR(K91&lt;-0.0009,K91&gt;0.0009)</formula>
    </cfRule>
  </conditionalFormatting>
  <conditionalFormatting sqref="K111">
    <cfRule type="expression" dxfId="67" priority="7">
      <formula>OR(K111&lt;-0.0009,K111&gt;0.0009)</formula>
    </cfRule>
  </conditionalFormatting>
  <conditionalFormatting sqref="K117">
    <cfRule type="expression" dxfId="66" priority="6">
      <formula>OR(K117&lt;-0.0009,K117&gt;0.0009)</formula>
    </cfRule>
  </conditionalFormatting>
  <conditionalFormatting sqref="K119">
    <cfRule type="expression" dxfId="65" priority="5">
      <formula>OR(K119&lt;-0.0009,K119&gt;0.0009)</formula>
    </cfRule>
  </conditionalFormatting>
  <conditionalFormatting sqref="K127">
    <cfRule type="expression" dxfId="64" priority="4">
      <formula>OR(K127&lt;-0.0009,K127&gt;0.0009)</formula>
    </cfRule>
  </conditionalFormatting>
  <conditionalFormatting sqref="K151">
    <cfRule type="expression" dxfId="63" priority="3">
      <formula>OR(K151&lt;-0.0009,K151&gt;0.0009)</formula>
    </cfRule>
  </conditionalFormatting>
  <conditionalFormatting sqref="K134">
    <cfRule type="expression" dxfId="62" priority="2">
      <formula>OR(K134&lt;-0.0009,K134&gt;0.0009)</formula>
    </cfRule>
  </conditionalFormatting>
  <conditionalFormatting sqref="K141">
    <cfRule type="expression" dxfId="61" priority="1">
      <formula>OR(K141&lt;-0.0009,K141&gt;0.0009)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J54"/>
  <sheetViews>
    <sheetView zoomScaleNormal="100" workbookViewId="0">
      <selection activeCell="A4" sqref="A4"/>
    </sheetView>
  </sheetViews>
  <sheetFormatPr baseColWidth="10" defaultRowHeight="14.5" x14ac:dyDescent="0.35"/>
  <cols>
    <col min="1" max="1" width="36.81640625" style="355" customWidth="1"/>
    <col min="2" max="2" width="14.81640625" style="355" customWidth="1"/>
    <col min="3" max="3" width="13.81640625" style="355" customWidth="1"/>
    <col min="4" max="6" width="15.7265625" style="355" customWidth="1"/>
    <col min="7" max="7" width="12.81640625" style="355" customWidth="1"/>
    <col min="8" max="8" width="16.1796875" style="355" customWidth="1"/>
    <col min="9" max="9" width="11.453125" style="114"/>
    <col min="10" max="243" width="11.453125" style="355"/>
    <col min="244" max="244" width="35.7265625" style="355" customWidth="1"/>
    <col min="245" max="245" width="15.7265625" style="355" customWidth="1"/>
    <col min="246" max="248" width="0" style="355" hidden="1" customWidth="1"/>
    <col min="249" max="249" width="3.26953125" style="355" customWidth="1"/>
    <col min="250" max="252" width="15.7265625" style="355" customWidth="1"/>
    <col min="253" max="253" width="11.453125" style="355"/>
    <col min="254" max="254" width="12.81640625" style="355" customWidth="1"/>
    <col min="255" max="255" width="11.453125" style="355" customWidth="1"/>
    <col min="256" max="499" width="11.453125" style="355"/>
    <col min="500" max="500" width="35.7265625" style="355" customWidth="1"/>
    <col min="501" max="501" width="15.7265625" style="355" customWidth="1"/>
    <col min="502" max="504" width="0" style="355" hidden="1" customWidth="1"/>
    <col min="505" max="505" width="3.26953125" style="355" customWidth="1"/>
    <col min="506" max="508" width="15.7265625" style="355" customWidth="1"/>
    <col min="509" max="509" width="11.453125" style="355"/>
    <col min="510" max="510" width="12.81640625" style="355" customWidth="1"/>
    <col min="511" max="511" width="11.453125" style="355" customWidth="1"/>
    <col min="512" max="755" width="11.453125" style="355"/>
    <col min="756" max="756" width="35.7265625" style="355" customWidth="1"/>
    <col min="757" max="757" width="15.7265625" style="355" customWidth="1"/>
    <col min="758" max="760" width="0" style="355" hidden="1" customWidth="1"/>
    <col min="761" max="761" width="3.26953125" style="355" customWidth="1"/>
    <col min="762" max="764" width="15.7265625" style="355" customWidth="1"/>
    <col min="765" max="765" width="11.453125" style="355"/>
    <col min="766" max="766" width="12.81640625" style="355" customWidth="1"/>
    <col min="767" max="767" width="11.453125" style="355" customWidth="1"/>
    <col min="768" max="1011" width="11.453125" style="355"/>
    <col min="1012" max="1012" width="35.7265625" style="355" customWidth="1"/>
    <col min="1013" max="1013" width="15.7265625" style="355" customWidth="1"/>
    <col min="1014" max="1016" width="0" style="355" hidden="1" customWidth="1"/>
    <col min="1017" max="1017" width="3.26953125" style="355" customWidth="1"/>
    <col min="1018" max="1020" width="15.7265625" style="355" customWidth="1"/>
    <col min="1021" max="1021" width="11.453125" style="355"/>
    <col min="1022" max="1022" width="12.81640625" style="355" customWidth="1"/>
    <col min="1023" max="1023" width="11.453125" style="355" customWidth="1"/>
    <col min="1024" max="1267" width="11.453125" style="355"/>
    <col min="1268" max="1268" width="35.7265625" style="355" customWidth="1"/>
    <col min="1269" max="1269" width="15.7265625" style="355" customWidth="1"/>
    <col min="1270" max="1272" width="0" style="355" hidden="1" customWidth="1"/>
    <col min="1273" max="1273" width="3.26953125" style="355" customWidth="1"/>
    <col min="1274" max="1276" width="15.7265625" style="355" customWidth="1"/>
    <col min="1277" max="1277" width="11.453125" style="355"/>
    <col min="1278" max="1278" width="12.81640625" style="355" customWidth="1"/>
    <col min="1279" max="1279" width="11.453125" style="355" customWidth="1"/>
    <col min="1280" max="1523" width="11.453125" style="355"/>
    <col min="1524" max="1524" width="35.7265625" style="355" customWidth="1"/>
    <col min="1525" max="1525" width="15.7265625" style="355" customWidth="1"/>
    <col min="1526" max="1528" width="0" style="355" hidden="1" customWidth="1"/>
    <col min="1529" max="1529" width="3.26953125" style="355" customWidth="1"/>
    <col min="1530" max="1532" width="15.7265625" style="355" customWidth="1"/>
    <col min="1533" max="1533" width="11.453125" style="355"/>
    <col min="1534" max="1534" width="12.81640625" style="355" customWidth="1"/>
    <col min="1535" max="1535" width="11.453125" style="355" customWidth="1"/>
    <col min="1536" max="1779" width="11.453125" style="355"/>
    <col min="1780" max="1780" width="35.7265625" style="355" customWidth="1"/>
    <col min="1781" max="1781" width="15.7265625" style="355" customWidth="1"/>
    <col min="1782" max="1784" width="0" style="355" hidden="1" customWidth="1"/>
    <col min="1785" max="1785" width="3.26953125" style="355" customWidth="1"/>
    <col min="1786" max="1788" width="15.7265625" style="355" customWidth="1"/>
    <col min="1789" max="1789" width="11.453125" style="355"/>
    <col min="1790" max="1790" width="12.81640625" style="355" customWidth="1"/>
    <col min="1791" max="1791" width="11.453125" style="355" customWidth="1"/>
    <col min="1792" max="2035" width="11.453125" style="355"/>
    <col min="2036" max="2036" width="35.7265625" style="355" customWidth="1"/>
    <col min="2037" max="2037" width="15.7265625" style="355" customWidth="1"/>
    <col min="2038" max="2040" width="0" style="355" hidden="1" customWidth="1"/>
    <col min="2041" max="2041" width="3.26953125" style="355" customWidth="1"/>
    <col min="2042" max="2044" width="15.7265625" style="355" customWidth="1"/>
    <col min="2045" max="2045" width="11.453125" style="355"/>
    <col min="2046" max="2046" width="12.81640625" style="355" customWidth="1"/>
    <col min="2047" max="2047" width="11.453125" style="355" customWidth="1"/>
    <col min="2048" max="2291" width="11.453125" style="355"/>
    <col min="2292" max="2292" width="35.7265625" style="355" customWidth="1"/>
    <col min="2293" max="2293" width="15.7265625" style="355" customWidth="1"/>
    <col min="2294" max="2296" width="0" style="355" hidden="1" customWidth="1"/>
    <col min="2297" max="2297" width="3.26953125" style="355" customWidth="1"/>
    <col min="2298" max="2300" width="15.7265625" style="355" customWidth="1"/>
    <col min="2301" max="2301" width="11.453125" style="355"/>
    <col min="2302" max="2302" width="12.81640625" style="355" customWidth="1"/>
    <col min="2303" max="2303" width="11.453125" style="355" customWidth="1"/>
    <col min="2304" max="2547" width="11.453125" style="355"/>
    <col min="2548" max="2548" width="35.7265625" style="355" customWidth="1"/>
    <col min="2549" max="2549" width="15.7265625" style="355" customWidth="1"/>
    <col min="2550" max="2552" width="0" style="355" hidden="1" customWidth="1"/>
    <col min="2553" max="2553" width="3.26953125" style="355" customWidth="1"/>
    <col min="2554" max="2556" width="15.7265625" style="355" customWidth="1"/>
    <col min="2557" max="2557" width="11.453125" style="355"/>
    <col min="2558" max="2558" width="12.81640625" style="355" customWidth="1"/>
    <col min="2559" max="2559" width="11.453125" style="355" customWidth="1"/>
    <col min="2560" max="2803" width="11.453125" style="355"/>
    <col min="2804" max="2804" width="35.7265625" style="355" customWidth="1"/>
    <col min="2805" max="2805" width="15.7265625" style="355" customWidth="1"/>
    <col min="2806" max="2808" width="0" style="355" hidden="1" customWidth="1"/>
    <col min="2809" max="2809" width="3.26953125" style="355" customWidth="1"/>
    <col min="2810" max="2812" width="15.7265625" style="355" customWidth="1"/>
    <col min="2813" max="2813" width="11.453125" style="355"/>
    <col min="2814" max="2814" width="12.81640625" style="355" customWidth="1"/>
    <col min="2815" max="2815" width="11.453125" style="355" customWidth="1"/>
    <col min="2816" max="3059" width="11.453125" style="355"/>
    <col min="3060" max="3060" width="35.7265625" style="355" customWidth="1"/>
    <col min="3061" max="3061" width="15.7265625" style="355" customWidth="1"/>
    <col min="3062" max="3064" width="0" style="355" hidden="1" customWidth="1"/>
    <col min="3065" max="3065" width="3.26953125" style="355" customWidth="1"/>
    <col min="3066" max="3068" width="15.7265625" style="355" customWidth="1"/>
    <col min="3069" max="3069" width="11.453125" style="355"/>
    <col min="3070" max="3070" width="12.81640625" style="355" customWidth="1"/>
    <col min="3071" max="3071" width="11.453125" style="355" customWidth="1"/>
    <col min="3072" max="3315" width="11.453125" style="355"/>
    <col min="3316" max="3316" width="35.7265625" style="355" customWidth="1"/>
    <col min="3317" max="3317" width="15.7265625" style="355" customWidth="1"/>
    <col min="3318" max="3320" width="0" style="355" hidden="1" customWidth="1"/>
    <col min="3321" max="3321" width="3.26953125" style="355" customWidth="1"/>
    <col min="3322" max="3324" width="15.7265625" style="355" customWidth="1"/>
    <col min="3325" max="3325" width="11.453125" style="355"/>
    <col min="3326" max="3326" width="12.81640625" style="355" customWidth="1"/>
    <col min="3327" max="3327" width="11.453125" style="355" customWidth="1"/>
    <col min="3328" max="3571" width="11.453125" style="355"/>
    <col min="3572" max="3572" width="35.7265625" style="355" customWidth="1"/>
    <col min="3573" max="3573" width="15.7265625" style="355" customWidth="1"/>
    <col min="3574" max="3576" width="0" style="355" hidden="1" customWidth="1"/>
    <col min="3577" max="3577" width="3.26953125" style="355" customWidth="1"/>
    <col min="3578" max="3580" width="15.7265625" style="355" customWidth="1"/>
    <col min="3581" max="3581" width="11.453125" style="355"/>
    <col min="3582" max="3582" width="12.81640625" style="355" customWidth="1"/>
    <col min="3583" max="3583" width="11.453125" style="355" customWidth="1"/>
    <col min="3584" max="3827" width="11.453125" style="355"/>
    <col min="3828" max="3828" width="35.7265625" style="355" customWidth="1"/>
    <col min="3829" max="3829" width="15.7265625" style="355" customWidth="1"/>
    <col min="3830" max="3832" width="0" style="355" hidden="1" customWidth="1"/>
    <col min="3833" max="3833" width="3.26953125" style="355" customWidth="1"/>
    <col min="3834" max="3836" width="15.7265625" style="355" customWidth="1"/>
    <col min="3837" max="3837" width="11.453125" style="355"/>
    <col min="3838" max="3838" width="12.81640625" style="355" customWidth="1"/>
    <col min="3839" max="3839" width="11.453125" style="355" customWidth="1"/>
    <col min="3840" max="4083" width="11.453125" style="355"/>
    <col min="4084" max="4084" width="35.7265625" style="355" customWidth="1"/>
    <col min="4085" max="4085" width="15.7265625" style="355" customWidth="1"/>
    <col min="4086" max="4088" width="0" style="355" hidden="1" customWidth="1"/>
    <col min="4089" max="4089" width="3.26953125" style="355" customWidth="1"/>
    <col min="4090" max="4092" width="15.7265625" style="355" customWidth="1"/>
    <col min="4093" max="4093" width="11.453125" style="355"/>
    <col min="4094" max="4094" width="12.81640625" style="355" customWidth="1"/>
    <col min="4095" max="4095" width="11.453125" style="355" customWidth="1"/>
    <col min="4096" max="4339" width="11.453125" style="355"/>
    <col min="4340" max="4340" width="35.7265625" style="355" customWidth="1"/>
    <col min="4341" max="4341" width="15.7265625" style="355" customWidth="1"/>
    <col min="4342" max="4344" width="0" style="355" hidden="1" customWidth="1"/>
    <col min="4345" max="4345" width="3.26953125" style="355" customWidth="1"/>
    <col min="4346" max="4348" width="15.7265625" style="355" customWidth="1"/>
    <col min="4349" max="4349" width="11.453125" style="355"/>
    <col min="4350" max="4350" width="12.81640625" style="355" customWidth="1"/>
    <col min="4351" max="4351" width="11.453125" style="355" customWidth="1"/>
    <col min="4352" max="4595" width="11.453125" style="355"/>
    <col min="4596" max="4596" width="35.7265625" style="355" customWidth="1"/>
    <col min="4597" max="4597" width="15.7265625" style="355" customWidth="1"/>
    <col min="4598" max="4600" width="0" style="355" hidden="1" customWidth="1"/>
    <col min="4601" max="4601" width="3.26953125" style="355" customWidth="1"/>
    <col min="4602" max="4604" width="15.7265625" style="355" customWidth="1"/>
    <col min="4605" max="4605" width="11.453125" style="355"/>
    <col min="4606" max="4606" width="12.81640625" style="355" customWidth="1"/>
    <col min="4607" max="4607" width="11.453125" style="355" customWidth="1"/>
    <col min="4608" max="4851" width="11.453125" style="355"/>
    <col min="4852" max="4852" width="35.7265625" style="355" customWidth="1"/>
    <col min="4853" max="4853" width="15.7265625" style="355" customWidth="1"/>
    <col min="4854" max="4856" width="0" style="355" hidden="1" customWidth="1"/>
    <col min="4857" max="4857" width="3.26953125" style="355" customWidth="1"/>
    <col min="4858" max="4860" width="15.7265625" style="355" customWidth="1"/>
    <col min="4861" max="4861" width="11.453125" style="355"/>
    <col min="4862" max="4862" width="12.81640625" style="355" customWidth="1"/>
    <col min="4863" max="4863" width="11.453125" style="355" customWidth="1"/>
    <col min="4864" max="5107" width="11.453125" style="355"/>
    <col min="5108" max="5108" width="35.7265625" style="355" customWidth="1"/>
    <col min="5109" max="5109" width="15.7265625" style="355" customWidth="1"/>
    <col min="5110" max="5112" width="0" style="355" hidden="1" customWidth="1"/>
    <col min="5113" max="5113" width="3.26953125" style="355" customWidth="1"/>
    <col min="5114" max="5116" width="15.7265625" style="355" customWidth="1"/>
    <col min="5117" max="5117" width="11.453125" style="355"/>
    <col min="5118" max="5118" width="12.81640625" style="355" customWidth="1"/>
    <col min="5119" max="5119" width="11.453125" style="355" customWidth="1"/>
    <col min="5120" max="5363" width="11.453125" style="355"/>
    <col min="5364" max="5364" width="35.7265625" style="355" customWidth="1"/>
    <col min="5365" max="5365" width="15.7265625" style="355" customWidth="1"/>
    <col min="5366" max="5368" width="0" style="355" hidden="1" customWidth="1"/>
    <col min="5369" max="5369" width="3.26953125" style="355" customWidth="1"/>
    <col min="5370" max="5372" width="15.7265625" style="355" customWidth="1"/>
    <col min="5373" max="5373" width="11.453125" style="355"/>
    <col min="5374" max="5374" width="12.81640625" style="355" customWidth="1"/>
    <col min="5375" max="5375" width="11.453125" style="355" customWidth="1"/>
    <col min="5376" max="5619" width="11.453125" style="355"/>
    <col min="5620" max="5620" width="35.7265625" style="355" customWidth="1"/>
    <col min="5621" max="5621" width="15.7265625" style="355" customWidth="1"/>
    <col min="5622" max="5624" width="0" style="355" hidden="1" customWidth="1"/>
    <col min="5625" max="5625" width="3.26953125" style="355" customWidth="1"/>
    <col min="5626" max="5628" width="15.7265625" style="355" customWidth="1"/>
    <col min="5629" max="5629" width="11.453125" style="355"/>
    <col min="5630" max="5630" width="12.81640625" style="355" customWidth="1"/>
    <col min="5631" max="5631" width="11.453125" style="355" customWidth="1"/>
    <col min="5632" max="5875" width="11.453125" style="355"/>
    <col min="5876" max="5876" width="35.7265625" style="355" customWidth="1"/>
    <col min="5877" max="5877" width="15.7265625" style="355" customWidth="1"/>
    <col min="5878" max="5880" width="0" style="355" hidden="1" customWidth="1"/>
    <col min="5881" max="5881" width="3.26953125" style="355" customWidth="1"/>
    <col min="5882" max="5884" width="15.7265625" style="355" customWidth="1"/>
    <col min="5885" max="5885" width="11.453125" style="355"/>
    <col min="5886" max="5886" width="12.81640625" style="355" customWidth="1"/>
    <col min="5887" max="5887" width="11.453125" style="355" customWidth="1"/>
    <col min="5888" max="6131" width="11.453125" style="355"/>
    <col min="6132" max="6132" width="35.7265625" style="355" customWidth="1"/>
    <col min="6133" max="6133" width="15.7265625" style="355" customWidth="1"/>
    <col min="6134" max="6136" width="0" style="355" hidden="1" customWidth="1"/>
    <col min="6137" max="6137" width="3.26953125" style="355" customWidth="1"/>
    <col min="6138" max="6140" width="15.7265625" style="355" customWidth="1"/>
    <col min="6141" max="6141" width="11.453125" style="355"/>
    <col min="6142" max="6142" width="12.81640625" style="355" customWidth="1"/>
    <col min="6143" max="6143" width="11.453125" style="355" customWidth="1"/>
    <col min="6144" max="6387" width="11.453125" style="355"/>
    <col min="6388" max="6388" width="35.7265625" style="355" customWidth="1"/>
    <col min="6389" max="6389" width="15.7265625" style="355" customWidth="1"/>
    <col min="6390" max="6392" width="0" style="355" hidden="1" customWidth="1"/>
    <col min="6393" max="6393" width="3.26953125" style="355" customWidth="1"/>
    <col min="6394" max="6396" width="15.7265625" style="355" customWidth="1"/>
    <col min="6397" max="6397" width="11.453125" style="355"/>
    <col min="6398" max="6398" width="12.81640625" style="355" customWidth="1"/>
    <col min="6399" max="6399" width="11.453125" style="355" customWidth="1"/>
    <col min="6400" max="6643" width="11.453125" style="355"/>
    <col min="6644" max="6644" width="35.7265625" style="355" customWidth="1"/>
    <col min="6645" max="6645" width="15.7265625" style="355" customWidth="1"/>
    <col min="6646" max="6648" width="0" style="355" hidden="1" customWidth="1"/>
    <col min="6649" max="6649" width="3.26953125" style="355" customWidth="1"/>
    <col min="6650" max="6652" width="15.7265625" style="355" customWidth="1"/>
    <col min="6653" max="6653" width="11.453125" style="355"/>
    <col min="6654" max="6654" width="12.81640625" style="355" customWidth="1"/>
    <col min="6655" max="6655" width="11.453125" style="355" customWidth="1"/>
    <col min="6656" max="6899" width="11.453125" style="355"/>
    <col min="6900" max="6900" width="35.7265625" style="355" customWidth="1"/>
    <col min="6901" max="6901" width="15.7265625" style="355" customWidth="1"/>
    <col min="6902" max="6904" width="0" style="355" hidden="1" customWidth="1"/>
    <col min="6905" max="6905" width="3.26953125" style="355" customWidth="1"/>
    <col min="6906" max="6908" width="15.7265625" style="355" customWidth="1"/>
    <col min="6909" max="6909" width="11.453125" style="355"/>
    <col min="6910" max="6910" width="12.81640625" style="355" customWidth="1"/>
    <col min="6911" max="6911" width="11.453125" style="355" customWidth="1"/>
    <col min="6912" max="7155" width="11.453125" style="355"/>
    <col min="7156" max="7156" width="35.7265625" style="355" customWidth="1"/>
    <col min="7157" max="7157" width="15.7265625" style="355" customWidth="1"/>
    <col min="7158" max="7160" width="0" style="355" hidden="1" customWidth="1"/>
    <col min="7161" max="7161" width="3.26953125" style="355" customWidth="1"/>
    <col min="7162" max="7164" width="15.7265625" style="355" customWidth="1"/>
    <col min="7165" max="7165" width="11.453125" style="355"/>
    <col min="7166" max="7166" width="12.81640625" style="355" customWidth="1"/>
    <col min="7167" max="7167" width="11.453125" style="355" customWidth="1"/>
    <col min="7168" max="7411" width="11.453125" style="355"/>
    <col min="7412" max="7412" width="35.7265625" style="355" customWidth="1"/>
    <col min="7413" max="7413" width="15.7265625" style="355" customWidth="1"/>
    <col min="7414" max="7416" width="0" style="355" hidden="1" customWidth="1"/>
    <col min="7417" max="7417" width="3.26953125" style="355" customWidth="1"/>
    <col min="7418" max="7420" width="15.7265625" style="355" customWidth="1"/>
    <col min="7421" max="7421" width="11.453125" style="355"/>
    <col min="7422" max="7422" width="12.81640625" style="355" customWidth="1"/>
    <col min="7423" max="7423" width="11.453125" style="355" customWidth="1"/>
    <col min="7424" max="7667" width="11.453125" style="355"/>
    <col min="7668" max="7668" width="35.7265625" style="355" customWidth="1"/>
    <col min="7669" max="7669" width="15.7265625" style="355" customWidth="1"/>
    <col min="7670" max="7672" width="0" style="355" hidden="1" customWidth="1"/>
    <col min="7673" max="7673" width="3.26953125" style="355" customWidth="1"/>
    <col min="7674" max="7676" width="15.7265625" style="355" customWidth="1"/>
    <col min="7677" max="7677" width="11.453125" style="355"/>
    <col min="7678" max="7678" width="12.81640625" style="355" customWidth="1"/>
    <col min="7679" max="7679" width="11.453125" style="355" customWidth="1"/>
    <col min="7680" max="7923" width="11.453125" style="355"/>
    <col min="7924" max="7924" width="35.7265625" style="355" customWidth="1"/>
    <col min="7925" max="7925" width="15.7265625" style="355" customWidth="1"/>
    <col min="7926" max="7928" width="0" style="355" hidden="1" customWidth="1"/>
    <col min="7929" max="7929" width="3.26953125" style="355" customWidth="1"/>
    <col min="7930" max="7932" width="15.7265625" style="355" customWidth="1"/>
    <col min="7933" max="7933" width="11.453125" style="355"/>
    <col min="7934" max="7934" width="12.81640625" style="355" customWidth="1"/>
    <col min="7935" max="7935" width="11.453125" style="355" customWidth="1"/>
    <col min="7936" max="8179" width="11.453125" style="355"/>
    <col min="8180" max="8180" width="35.7265625" style="355" customWidth="1"/>
    <col min="8181" max="8181" width="15.7265625" style="355" customWidth="1"/>
    <col min="8182" max="8184" width="0" style="355" hidden="1" customWidth="1"/>
    <col min="8185" max="8185" width="3.26953125" style="355" customWidth="1"/>
    <col min="8186" max="8188" width="15.7265625" style="355" customWidth="1"/>
    <col min="8189" max="8189" width="11.453125" style="355"/>
    <col min="8190" max="8190" width="12.81640625" style="355" customWidth="1"/>
    <col min="8191" max="8191" width="11.453125" style="355" customWidth="1"/>
    <col min="8192" max="8435" width="11.453125" style="355"/>
    <col min="8436" max="8436" width="35.7265625" style="355" customWidth="1"/>
    <col min="8437" max="8437" width="15.7265625" style="355" customWidth="1"/>
    <col min="8438" max="8440" width="0" style="355" hidden="1" customWidth="1"/>
    <col min="8441" max="8441" width="3.26953125" style="355" customWidth="1"/>
    <col min="8442" max="8444" width="15.7265625" style="355" customWidth="1"/>
    <col min="8445" max="8445" width="11.453125" style="355"/>
    <col min="8446" max="8446" width="12.81640625" style="355" customWidth="1"/>
    <col min="8447" max="8447" width="11.453125" style="355" customWidth="1"/>
    <col min="8448" max="8691" width="11.453125" style="355"/>
    <col min="8692" max="8692" width="35.7265625" style="355" customWidth="1"/>
    <col min="8693" max="8693" width="15.7265625" style="355" customWidth="1"/>
    <col min="8694" max="8696" width="0" style="355" hidden="1" customWidth="1"/>
    <col min="8697" max="8697" width="3.26953125" style="355" customWidth="1"/>
    <col min="8698" max="8700" width="15.7265625" style="355" customWidth="1"/>
    <col min="8701" max="8701" width="11.453125" style="355"/>
    <col min="8702" max="8702" width="12.81640625" style="355" customWidth="1"/>
    <col min="8703" max="8703" width="11.453125" style="355" customWidth="1"/>
    <col min="8704" max="8947" width="11.453125" style="355"/>
    <col min="8948" max="8948" width="35.7265625" style="355" customWidth="1"/>
    <col min="8949" max="8949" width="15.7265625" style="355" customWidth="1"/>
    <col min="8950" max="8952" width="0" style="355" hidden="1" customWidth="1"/>
    <col min="8953" max="8953" width="3.26953125" style="355" customWidth="1"/>
    <col min="8954" max="8956" width="15.7265625" style="355" customWidth="1"/>
    <col min="8957" max="8957" width="11.453125" style="355"/>
    <col min="8958" max="8958" width="12.81640625" style="355" customWidth="1"/>
    <col min="8959" max="8959" width="11.453125" style="355" customWidth="1"/>
    <col min="8960" max="9203" width="11.453125" style="355"/>
    <col min="9204" max="9204" width="35.7265625" style="355" customWidth="1"/>
    <col min="9205" max="9205" width="15.7265625" style="355" customWidth="1"/>
    <col min="9206" max="9208" width="0" style="355" hidden="1" customWidth="1"/>
    <col min="9209" max="9209" width="3.26953125" style="355" customWidth="1"/>
    <col min="9210" max="9212" width="15.7265625" style="355" customWidth="1"/>
    <col min="9213" max="9213" width="11.453125" style="355"/>
    <col min="9214" max="9214" width="12.81640625" style="355" customWidth="1"/>
    <col min="9215" max="9215" width="11.453125" style="355" customWidth="1"/>
    <col min="9216" max="9459" width="11.453125" style="355"/>
    <col min="9460" max="9460" width="35.7265625" style="355" customWidth="1"/>
    <col min="9461" max="9461" width="15.7265625" style="355" customWidth="1"/>
    <col min="9462" max="9464" width="0" style="355" hidden="1" customWidth="1"/>
    <col min="9465" max="9465" width="3.26953125" style="355" customWidth="1"/>
    <col min="9466" max="9468" width="15.7265625" style="355" customWidth="1"/>
    <col min="9469" max="9469" width="11.453125" style="355"/>
    <col min="9470" max="9470" width="12.81640625" style="355" customWidth="1"/>
    <col min="9471" max="9471" width="11.453125" style="355" customWidth="1"/>
    <col min="9472" max="9715" width="11.453125" style="355"/>
    <col min="9716" max="9716" width="35.7265625" style="355" customWidth="1"/>
    <col min="9717" max="9717" width="15.7265625" style="355" customWidth="1"/>
    <col min="9718" max="9720" width="0" style="355" hidden="1" customWidth="1"/>
    <col min="9721" max="9721" width="3.26953125" style="355" customWidth="1"/>
    <col min="9722" max="9724" width="15.7265625" style="355" customWidth="1"/>
    <col min="9725" max="9725" width="11.453125" style="355"/>
    <col min="9726" max="9726" width="12.81640625" style="355" customWidth="1"/>
    <col min="9727" max="9727" width="11.453125" style="355" customWidth="1"/>
    <col min="9728" max="9971" width="11.453125" style="355"/>
    <col min="9972" max="9972" width="35.7265625" style="355" customWidth="1"/>
    <col min="9973" max="9973" width="15.7265625" style="355" customWidth="1"/>
    <col min="9974" max="9976" width="0" style="355" hidden="1" customWidth="1"/>
    <col min="9977" max="9977" width="3.26953125" style="355" customWidth="1"/>
    <col min="9978" max="9980" width="15.7265625" style="355" customWidth="1"/>
    <col min="9981" max="9981" width="11.453125" style="355"/>
    <col min="9982" max="9982" width="12.81640625" style="355" customWidth="1"/>
    <col min="9983" max="9983" width="11.453125" style="355" customWidth="1"/>
    <col min="9984" max="10227" width="11.453125" style="355"/>
    <col min="10228" max="10228" width="35.7265625" style="355" customWidth="1"/>
    <col min="10229" max="10229" width="15.7265625" style="355" customWidth="1"/>
    <col min="10230" max="10232" width="0" style="355" hidden="1" customWidth="1"/>
    <col min="10233" max="10233" width="3.26953125" style="355" customWidth="1"/>
    <col min="10234" max="10236" width="15.7265625" style="355" customWidth="1"/>
    <col min="10237" max="10237" width="11.453125" style="355"/>
    <col min="10238" max="10238" width="12.81640625" style="355" customWidth="1"/>
    <col min="10239" max="10239" width="11.453125" style="355" customWidth="1"/>
    <col min="10240" max="10483" width="11.453125" style="355"/>
    <col min="10484" max="10484" width="35.7265625" style="355" customWidth="1"/>
    <col min="10485" max="10485" width="15.7265625" style="355" customWidth="1"/>
    <col min="10486" max="10488" width="0" style="355" hidden="1" customWidth="1"/>
    <col min="10489" max="10489" width="3.26953125" style="355" customWidth="1"/>
    <col min="10490" max="10492" width="15.7265625" style="355" customWidth="1"/>
    <col min="10493" max="10493" width="11.453125" style="355"/>
    <col min="10494" max="10494" width="12.81640625" style="355" customWidth="1"/>
    <col min="10495" max="10495" width="11.453125" style="355" customWidth="1"/>
    <col min="10496" max="10739" width="11.453125" style="355"/>
    <col min="10740" max="10740" width="35.7265625" style="355" customWidth="1"/>
    <col min="10741" max="10741" width="15.7265625" style="355" customWidth="1"/>
    <col min="10742" max="10744" width="0" style="355" hidden="1" customWidth="1"/>
    <col min="10745" max="10745" width="3.26953125" style="355" customWidth="1"/>
    <col min="10746" max="10748" width="15.7265625" style="355" customWidth="1"/>
    <col min="10749" max="10749" width="11.453125" style="355"/>
    <col min="10750" max="10750" width="12.81640625" style="355" customWidth="1"/>
    <col min="10751" max="10751" width="11.453125" style="355" customWidth="1"/>
    <col min="10752" max="10995" width="11.453125" style="355"/>
    <col min="10996" max="10996" width="35.7265625" style="355" customWidth="1"/>
    <col min="10997" max="10997" width="15.7265625" style="355" customWidth="1"/>
    <col min="10998" max="11000" width="0" style="355" hidden="1" customWidth="1"/>
    <col min="11001" max="11001" width="3.26953125" style="355" customWidth="1"/>
    <col min="11002" max="11004" width="15.7265625" style="355" customWidth="1"/>
    <col min="11005" max="11005" width="11.453125" style="355"/>
    <col min="11006" max="11006" width="12.81640625" style="355" customWidth="1"/>
    <col min="11007" max="11007" width="11.453125" style="355" customWidth="1"/>
    <col min="11008" max="11251" width="11.453125" style="355"/>
    <col min="11252" max="11252" width="35.7265625" style="355" customWidth="1"/>
    <col min="11253" max="11253" width="15.7265625" style="355" customWidth="1"/>
    <col min="11254" max="11256" width="0" style="355" hidden="1" customWidth="1"/>
    <col min="11257" max="11257" width="3.26953125" style="355" customWidth="1"/>
    <col min="11258" max="11260" width="15.7265625" style="355" customWidth="1"/>
    <col min="11261" max="11261" width="11.453125" style="355"/>
    <col min="11262" max="11262" width="12.81640625" style="355" customWidth="1"/>
    <col min="11263" max="11263" width="11.453125" style="355" customWidth="1"/>
    <col min="11264" max="11507" width="11.453125" style="355"/>
    <col min="11508" max="11508" width="35.7265625" style="355" customWidth="1"/>
    <col min="11509" max="11509" width="15.7265625" style="355" customWidth="1"/>
    <col min="11510" max="11512" width="0" style="355" hidden="1" customWidth="1"/>
    <col min="11513" max="11513" width="3.26953125" style="355" customWidth="1"/>
    <col min="11514" max="11516" width="15.7265625" style="355" customWidth="1"/>
    <col min="11517" max="11517" width="11.453125" style="355"/>
    <col min="11518" max="11518" width="12.81640625" style="355" customWidth="1"/>
    <col min="11519" max="11519" width="11.453125" style="355" customWidth="1"/>
    <col min="11520" max="11763" width="11.453125" style="355"/>
    <col min="11764" max="11764" width="35.7265625" style="355" customWidth="1"/>
    <col min="11765" max="11765" width="15.7265625" style="355" customWidth="1"/>
    <col min="11766" max="11768" width="0" style="355" hidden="1" customWidth="1"/>
    <col min="11769" max="11769" width="3.26953125" style="355" customWidth="1"/>
    <col min="11770" max="11772" width="15.7265625" style="355" customWidth="1"/>
    <col min="11773" max="11773" width="11.453125" style="355"/>
    <col min="11774" max="11774" width="12.81640625" style="355" customWidth="1"/>
    <col min="11775" max="11775" width="11.453125" style="355" customWidth="1"/>
    <col min="11776" max="12019" width="11.453125" style="355"/>
    <col min="12020" max="12020" width="35.7265625" style="355" customWidth="1"/>
    <col min="12021" max="12021" width="15.7265625" style="355" customWidth="1"/>
    <col min="12022" max="12024" width="0" style="355" hidden="1" customWidth="1"/>
    <col min="12025" max="12025" width="3.26953125" style="355" customWidth="1"/>
    <col min="12026" max="12028" width="15.7265625" style="355" customWidth="1"/>
    <col min="12029" max="12029" width="11.453125" style="355"/>
    <col min="12030" max="12030" width="12.81640625" style="355" customWidth="1"/>
    <col min="12031" max="12031" width="11.453125" style="355" customWidth="1"/>
    <col min="12032" max="12275" width="11.453125" style="355"/>
    <col min="12276" max="12276" width="35.7265625" style="355" customWidth="1"/>
    <col min="12277" max="12277" width="15.7265625" style="355" customWidth="1"/>
    <col min="12278" max="12280" width="0" style="355" hidden="1" customWidth="1"/>
    <col min="12281" max="12281" width="3.26953125" style="355" customWidth="1"/>
    <col min="12282" max="12284" width="15.7265625" style="355" customWidth="1"/>
    <col min="12285" max="12285" width="11.453125" style="355"/>
    <col min="12286" max="12286" width="12.81640625" style="355" customWidth="1"/>
    <col min="12287" max="12287" width="11.453125" style="355" customWidth="1"/>
    <col min="12288" max="12531" width="11.453125" style="355"/>
    <col min="12532" max="12532" width="35.7265625" style="355" customWidth="1"/>
    <col min="12533" max="12533" width="15.7265625" style="355" customWidth="1"/>
    <col min="12534" max="12536" width="0" style="355" hidden="1" customWidth="1"/>
    <col min="12537" max="12537" width="3.26953125" style="355" customWidth="1"/>
    <col min="12538" max="12540" width="15.7265625" style="355" customWidth="1"/>
    <col min="12541" max="12541" width="11.453125" style="355"/>
    <col min="12542" max="12542" width="12.81640625" style="355" customWidth="1"/>
    <col min="12543" max="12543" width="11.453125" style="355" customWidth="1"/>
    <col min="12544" max="12787" width="11.453125" style="355"/>
    <col min="12788" max="12788" width="35.7265625" style="355" customWidth="1"/>
    <col min="12789" max="12789" width="15.7265625" style="355" customWidth="1"/>
    <col min="12790" max="12792" width="0" style="355" hidden="1" customWidth="1"/>
    <col min="12793" max="12793" width="3.26953125" style="355" customWidth="1"/>
    <col min="12794" max="12796" width="15.7265625" style="355" customWidth="1"/>
    <col min="12797" max="12797" width="11.453125" style="355"/>
    <col min="12798" max="12798" width="12.81640625" style="355" customWidth="1"/>
    <col min="12799" max="12799" width="11.453125" style="355" customWidth="1"/>
    <col min="12800" max="13043" width="11.453125" style="355"/>
    <col min="13044" max="13044" width="35.7265625" style="355" customWidth="1"/>
    <col min="13045" max="13045" width="15.7265625" style="355" customWidth="1"/>
    <col min="13046" max="13048" width="0" style="355" hidden="1" customWidth="1"/>
    <col min="13049" max="13049" width="3.26953125" style="355" customWidth="1"/>
    <col min="13050" max="13052" width="15.7265625" style="355" customWidth="1"/>
    <col min="13053" max="13053" width="11.453125" style="355"/>
    <col min="13054" max="13054" width="12.81640625" style="355" customWidth="1"/>
    <col min="13055" max="13055" width="11.453125" style="355" customWidth="1"/>
    <col min="13056" max="13299" width="11.453125" style="355"/>
    <col min="13300" max="13300" width="35.7265625" style="355" customWidth="1"/>
    <col min="13301" max="13301" width="15.7265625" style="355" customWidth="1"/>
    <col min="13302" max="13304" width="0" style="355" hidden="1" customWidth="1"/>
    <col min="13305" max="13305" width="3.26953125" style="355" customWidth="1"/>
    <col min="13306" max="13308" width="15.7265625" style="355" customWidth="1"/>
    <col min="13309" max="13309" width="11.453125" style="355"/>
    <col min="13310" max="13310" width="12.81640625" style="355" customWidth="1"/>
    <col min="13311" max="13311" width="11.453125" style="355" customWidth="1"/>
    <col min="13312" max="13555" width="11.453125" style="355"/>
    <col min="13556" max="13556" width="35.7265625" style="355" customWidth="1"/>
    <col min="13557" max="13557" width="15.7265625" style="355" customWidth="1"/>
    <col min="13558" max="13560" width="0" style="355" hidden="1" customWidth="1"/>
    <col min="13561" max="13561" width="3.26953125" style="355" customWidth="1"/>
    <col min="13562" max="13564" width="15.7265625" style="355" customWidth="1"/>
    <col min="13565" max="13565" width="11.453125" style="355"/>
    <col min="13566" max="13566" width="12.81640625" style="355" customWidth="1"/>
    <col min="13567" max="13567" width="11.453125" style="355" customWidth="1"/>
    <col min="13568" max="13811" width="11.453125" style="355"/>
    <col min="13812" max="13812" width="35.7265625" style="355" customWidth="1"/>
    <col min="13813" max="13813" width="15.7265625" style="355" customWidth="1"/>
    <col min="13814" max="13816" width="0" style="355" hidden="1" customWidth="1"/>
    <col min="13817" max="13817" width="3.26953125" style="355" customWidth="1"/>
    <col min="13818" max="13820" width="15.7265625" style="355" customWidth="1"/>
    <col min="13821" max="13821" width="11.453125" style="355"/>
    <col min="13822" max="13822" width="12.81640625" style="355" customWidth="1"/>
    <col min="13823" max="13823" width="11.453125" style="355" customWidth="1"/>
    <col min="13824" max="14067" width="11.453125" style="355"/>
    <col min="14068" max="14068" width="35.7265625" style="355" customWidth="1"/>
    <col min="14069" max="14069" width="15.7265625" style="355" customWidth="1"/>
    <col min="14070" max="14072" width="0" style="355" hidden="1" customWidth="1"/>
    <col min="14073" max="14073" width="3.26953125" style="355" customWidth="1"/>
    <col min="14074" max="14076" width="15.7265625" style="355" customWidth="1"/>
    <col min="14077" max="14077" width="11.453125" style="355"/>
    <col min="14078" max="14078" width="12.81640625" style="355" customWidth="1"/>
    <col min="14079" max="14079" width="11.453125" style="355" customWidth="1"/>
    <col min="14080" max="14323" width="11.453125" style="355"/>
    <col min="14324" max="14324" width="35.7265625" style="355" customWidth="1"/>
    <col min="14325" max="14325" width="15.7265625" style="355" customWidth="1"/>
    <col min="14326" max="14328" width="0" style="355" hidden="1" customWidth="1"/>
    <col min="14329" max="14329" width="3.26953125" style="355" customWidth="1"/>
    <col min="14330" max="14332" width="15.7265625" style="355" customWidth="1"/>
    <col min="14333" max="14333" width="11.453125" style="355"/>
    <col min="14334" max="14334" width="12.81640625" style="355" customWidth="1"/>
    <col min="14335" max="14335" width="11.453125" style="355" customWidth="1"/>
    <col min="14336" max="14579" width="11.453125" style="355"/>
    <col min="14580" max="14580" width="35.7265625" style="355" customWidth="1"/>
    <col min="14581" max="14581" width="15.7265625" style="355" customWidth="1"/>
    <col min="14582" max="14584" width="0" style="355" hidden="1" customWidth="1"/>
    <col min="14585" max="14585" width="3.26953125" style="355" customWidth="1"/>
    <col min="14586" max="14588" width="15.7265625" style="355" customWidth="1"/>
    <col min="14589" max="14589" width="11.453125" style="355"/>
    <col min="14590" max="14590" width="12.81640625" style="355" customWidth="1"/>
    <col min="14591" max="14591" width="11.453125" style="355" customWidth="1"/>
    <col min="14592" max="14835" width="11.453125" style="355"/>
    <col min="14836" max="14836" width="35.7265625" style="355" customWidth="1"/>
    <col min="14837" max="14837" width="15.7265625" style="355" customWidth="1"/>
    <col min="14838" max="14840" width="0" style="355" hidden="1" customWidth="1"/>
    <col min="14841" max="14841" width="3.26953125" style="355" customWidth="1"/>
    <col min="14842" max="14844" width="15.7265625" style="355" customWidth="1"/>
    <col min="14845" max="14845" width="11.453125" style="355"/>
    <col min="14846" max="14846" width="12.81640625" style="355" customWidth="1"/>
    <col min="14847" max="14847" width="11.453125" style="355" customWidth="1"/>
    <col min="14848" max="15091" width="11.453125" style="355"/>
    <col min="15092" max="15092" width="35.7265625" style="355" customWidth="1"/>
    <col min="15093" max="15093" width="15.7265625" style="355" customWidth="1"/>
    <col min="15094" max="15096" width="0" style="355" hidden="1" customWidth="1"/>
    <col min="15097" max="15097" width="3.26953125" style="355" customWidth="1"/>
    <col min="15098" max="15100" width="15.7265625" style="355" customWidth="1"/>
    <col min="15101" max="15101" width="11.453125" style="355"/>
    <col min="15102" max="15102" width="12.81640625" style="355" customWidth="1"/>
    <col min="15103" max="15103" width="11.453125" style="355" customWidth="1"/>
    <col min="15104" max="15347" width="11.453125" style="355"/>
    <col min="15348" max="15348" width="35.7265625" style="355" customWidth="1"/>
    <col min="15349" max="15349" width="15.7265625" style="355" customWidth="1"/>
    <col min="15350" max="15352" width="0" style="355" hidden="1" customWidth="1"/>
    <col min="15353" max="15353" width="3.26953125" style="355" customWidth="1"/>
    <col min="15354" max="15356" width="15.7265625" style="355" customWidth="1"/>
    <col min="15357" max="15357" width="11.453125" style="355"/>
    <col min="15358" max="15358" width="12.81640625" style="355" customWidth="1"/>
    <col min="15359" max="15359" width="11.453125" style="355" customWidth="1"/>
    <col min="15360" max="15603" width="11.453125" style="355"/>
    <col min="15604" max="15604" width="35.7265625" style="355" customWidth="1"/>
    <col min="15605" max="15605" width="15.7265625" style="355" customWidth="1"/>
    <col min="15606" max="15608" width="0" style="355" hidden="1" customWidth="1"/>
    <col min="15609" max="15609" width="3.26953125" style="355" customWidth="1"/>
    <col min="15610" max="15612" width="15.7265625" style="355" customWidth="1"/>
    <col min="15613" max="15613" width="11.453125" style="355"/>
    <col min="15614" max="15614" width="12.81640625" style="355" customWidth="1"/>
    <col min="15615" max="15615" width="11.453125" style="355" customWidth="1"/>
    <col min="15616" max="15859" width="11.453125" style="355"/>
    <col min="15860" max="15860" width="35.7265625" style="355" customWidth="1"/>
    <col min="15861" max="15861" width="15.7265625" style="355" customWidth="1"/>
    <col min="15862" max="15864" width="0" style="355" hidden="1" customWidth="1"/>
    <col min="15865" max="15865" width="3.26953125" style="355" customWidth="1"/>
    <col min="15866" max="15868" width="15.7265625" style="355" customWidth="1"/>
    <col min="15869" max="15869" width="11.453125" style="355"/>
    <col min="15870" max="15870" width="12.81640625" style="355" customWidth="1"/>
    <col min="15871" max="15871" width="11.453125" style="355" customWidth="1"/>
    <col min="15872" max="16115" width="11.453125" style="355"/>
    <col min="16116" max="16116" width="35.7265625" style="355" customWidth="1"/>
    <col min="16117" max="16117" width="15.7265625" style="355" customWidth="1"/>
    <col min="16118" max="16120" width="0" style="355" hidden="1" customWidth="1"/>
    <col min="16121" max="16121" width="3.26953125" style="355" customWidth="1"/>
    <col min="16122" max="16124" width="15.7265625" style="355" customWidth="1"/>
    <col min="16125" max="16125" width="11.453125" style="355"/>
    <col min="16126" max="16126" width="12.81640625" style="355" customWidth="1"/>
    <col min="16127" max="16127" width="11.453125" style="355" customWidth="1"/>
    <col min="16128" max="16377" width="11.453125" style="355"/>
    <col min="16378" max="16384" width="11.453125" style="355" customWidth="1"/>
  </cols>
  <sheetData>
    <row r="1" spans="1:7" ht="26" x14ac:dyDescent="0.6">
      <c r="A1" s="607" t="s">
        <v>323</v>
      </c>
      <c r="B1" s="639"/>
      <c r="C1" s="639"/>
      <c r="D1" s="639"/>
      <c r="E1" s="639"/>
      <c r="F1" s="640"/>
    </row>
    <row r="2" spans="1:7" ht="26" x14ac:dyDescent="0.6">
      <c r="A2" s="641" t="s">
        <v>154</v>
      </c>
      <c r="B2" s="642"/>
      <c r="C2" s="642"/>
      <c r="D2" s="643"/>
      <c r="E2" s="643"/>
      <c r="F2" s="609" t="str">
        <f>+Stammdaten!D2</f>
        <v>Version 1.8</v>
      </c>
    </row>
    <row r="3" spans="1:7" x14ac:dyDescent="0.35">
      <c r="A3" s="381">
        <f>+Stammdaten!B5</f>
        <v>0</v>
      </c>
      <c r="B3" s="302">
        <f>+Stammdaten!B3</f>
        <v>0</v>
      </c>
      <c r="C3" s="644"/>
      <c r="D3" s="610" t="s">
        <v>40</v>
      </c>
      <c r="E3" s="645"/>
      <c r="F3" s="611"/>
    </row>
    <row r="4" spans="1:7" ht="15.65" customHeight="1" thickBot="1" x14ac:dyDescent="0.55000000000000004">
      <c r="A4" s="357"/>
      <c r="B4" s="356"/>
      <c r="C4" s="356"/>
      <c r="D4" s="356"/>
      <c r="E4" s="356"/>
      <c r="F4" s="358"/>
    </row>
    <row r="5" spans="1:7" ht="106.5" customHeight="1" thickBot="1" x14ac:dyDescent="0.4">
      <c r="A5" s="1080" t="s">
        <v>286</v>
      </c>
      <c r="B5" s="1039"/>
      <c r="C5" s="1039"/>
      <c r="D5" s="1039"/>
      <c r="E5" s="1039"/>
      <c r="F5" s="1040"/>
      <c r="G5" s="540"/>
    </row>
    <row r="6" spans="1:7" ht="36" customHeight="1" x14ac:dyDescent="0.35">
      <c r="A6" s="1095" t="s">
        <v>280</v>
      </c>
      <c r="B6" s="1096"/>
      <c r="C6" s="1097"/>
      <c r="D6" s="1072"/>
      <c r="E6" s="541" t="str">
        <f>+IF(D6="x","Anteil persönl.
Wohnfläche","")</f>
        <v/>
      </c>
      <c r="F6" s="542" t="str">
        <f>+IF(D6="x",'A Flächen'!E174,"")</f>
        <v/>
      </c>
      <c r="G6" s="389" t="str">
        <f>+IF(AND(D6="x",D8="x"),"Bitte wählen Sie ENTWEDER Kosten nur für Heimbereich ODER die Kosten für Gesamtgebäude inkl. freier Flächen!","")</f>
        <v/>
      </c>
    </row>
    <row r="7" spans="1:7" ht="30.65" customHeight="1" thickBot="1" x14ac:dyDescent="0.4">
      <c r="A7" s="514"/>
      <c r="B7" s="513"/>
      <c r="C7" s="508" t="s">
        <v>268</v>
      </c>
      <c r="D7" s="1094"/>
      <c r="E7" s="516" t="str">
        <f>+IF(D6="x","Anteil Fachleist.
Fläche","")</f>
        <v/>
      </c>
      <c r="F7" s="543" t="str">
        <f>+IF(D6="x",'A Flächen'!E175,"")</f>
        <v/>
      </c>
      <c r="G7" s="389" t="str">
        <f>+IF(AND(D6="",D8=""),"Bitte wählen Sie ENTWEDER Kosten nur Heimbereich ODER Kosten für Gesamtgebäude inkl. freier Flächen!","")</f>
        <v>Bitte wählen Sie ENTWEDER Kosten nur Heimbereich ODER Kosten für Gesamtgebäude inkl. freier Flächen!</v>
      </c>
    </row>
    <row r="8" spans="1:7" ht="38.15" customHeight="1" x14ac:dyDescent="0.35">
      <c r="A8" s="1095" t="s">
        <v>281</v>
      </c>
      <c r="B8" s="1096"/>
      <c r="C8" s="1097"/>
      <c r="D8" s="1072"/>
      <c r="E8" s="541" t="str">
        <f>+IF(D8="x","Anteil persönl.
Wohnfläche","")</f>
        <v/>
      </c>
      <c r="F8" s="542" t="str">
        <f>+IF(D8="x",'A Flächen'!E169,"")</f>
        <v/>
      </c>
      <c r="G8" s="530"/>
    </row>
    <row r="9" spans="1:7" ht="34.5" customHeight="1" thickBot="1" x14ac:dyDescent="0.4">
      <c r="A9" s="515"/>
      <c r="B9" s="513"/>
      <c r="C9" s="508" t="s">
        <v>269</v>
      </c>
      <c r="D9" s="1094"/>
      <c r="E9" s="516" t="str">
        <f>+IF(D8="x","Anteil Fachleist.
Fläche","")</f>
        <v/>
      </c>
      <c r="F9" s="543" t="str">
        <f>+IF(D8="x",'A Flächen'!E170,"")</f>
        <v/>
      </c>
      <c r="G9" s="530"/>
    </row>
    <row r="10" spans="1:7" ht="15" customHeight="1" thickBot="1" x14ac:dyDescent="0.55000000000000004">
      <c r="A10" s="357"/>
      <c r="B10" s="356"/>
      <c r="C10" s="356"/>
      <c r="D10" s="356"/>
      <c r="E10" s="356"/>
      <c r="F10" s="358"/>
      <c r="G10" s="540"/>
    </row>
    <row r="11" spans="1:7" ht="15" customHeight="1" x14ac:dyDescent="0.35">
      <c r="A11" s="1090" t="s">
        <v>346</v>
      </c>
      <c r="B11" s="1071"/>
      <c r="C11" s="1072"/>
      <c r="D11" s="1098" t="s">
        <v>370</v>
      </c>
      <c r="E11" s="1099"/>
      <c r="F11" s="1100"/>
      <c r="G11" s="389" t="str">
        <f>+IF(AND(C11="",C13=""),"Bitte wählen Sie ENTWEDER Neuverhandlung ODER Indexierung","")</f>
        <v>Bitte wählen Sie ENTWEDER Neuverhandlung ODER Indexierung</v>
      </c>
    </row>
    <row r="12" spans="1:7" ht="28" customHeight="1" thickBot="1" x14ac:dyDescent="0.4">
      <c r="A12" s="513"/>
      <c r="B12" s="508" t="s">
        <v>344</v>
      </c>
      <c r="C12" s="1094"/>
      <c r="D12" s="1101"/>
      <c r="E12" s="1102"/>
      <c r="F12" s="1103"/>
      <c r="G12" s="540"/>
    </row>
    <row r="13" spans="1:7" x14ac:dyDescent="0.35">
      <c r="A13" s="1090" t="s">
        <v>343</v>
      </c>
      <c r="B13" s="1071"/>
      <c r="C13" s="1072"/>
      <c r="D13" s="1098" t="s">
        <v>371</v>
      </c>
      <c r="E13" s="1099"/>
      <c r="F13" s="1100"/>
      <c r="G13" s="389" t="str">
        <f>+IF(AND(C11="x",C13="x"),"Bitte wählen Sie ENTWEDER Neuverhandlung ODER Indexierung!","")</f>
        <v/>
      </c>
    </row>
    <row r="14" spans="1:7" ht="42.65" customHeight="1" thickBot="1" x14ac:dyDescent="0.4">
      <c r="A14" s="513"/>
      <c r="B14" s="508" t="s">
        <v>345</v>
      </c>
      <c r="C14" s="1094"/>
      <c r="D14" s="1101"/>
      <c r="E14" s="1102"/>
      <c r="F14" s="1103"/>
      <c r="G14" s="540"/>
    </row>
    <row r="15" spans="1:7" ht="15" customHeight="1" x14ac:dyDescent="0.5">
      <c r="A15" s="929"/>
      <c r="B15" s="643"/>
      <c r="C15" s="643"/>
      <c r="D15" s="643"/>
      <c r="E15" s="643"/>
      <c r="F15" s="746"/>
    </row>
    <row r="16" spans="1:7" ht="15" customHeight="1" x14ac:dyDescent="0.35">
      <c r="A16" s="578" t="s">
        <v>356</v>
      </c>
      <c r="B16" s="934"/>
      <c r="C16" s="934"/>
      <c r="D16" s="934"/>
      <c r="E16" s="934"/>
      <c r="F16" s="935"/>
      <c r="G16" s="389"/>
    </row>
    <row r="17" spans="1:9" s="928" customFormat="1" ht="15" customHeight="1" x14ac:dyDescent="0.35">
      <c r="A17" s="586" t="s">
        <v>359</v>
      </c>
      <c r="B17" s="661"/>
      <c r="C17" s="659"/>
      <c r="D17" s="933"/>
      <c r="E17" s="933"/>
      <c r="F17" s="936"/>
      <c r="G17" s="389"/>
      <c r="I17" s="114"/>
    </row>
    <row r="18" spans="1:9" s="928" customFormat="1" ht="15" customHeight="1" x14ac:dyDescent="0.35">
      <c r="A18" s="13"/>
      <c r="B18" s="943" t="s">
        <v>362</v>
      </c>
      <c r="C18" s="944"/>
      <c r="D18" s="942" t="str">
        <f>+IF(AND(C13="x",C18=""),"Achtung, Feld C18 muss befüllt werden!","")</f>
        <v/>
      </c>
      <c r="E18" s="933"/>
      <c r="F18" s="936"/>
      <c r="G18" s="389"/>
      <c r="I18" s="114"/>
    </row>
    <row r="19" spans="1:9" s="928" customFormat="1" ht="15" customHeight="1" x14ac:dyDescent="0.35">
      <c r="A19" s="945"/>
      <c r="B19" s="943" t="s">
        <v>363</v>
      </c>
      <c r="C19" s="944"/>
      <c r="D19" s="942" t="str">
        <f>+IF(AND(C13="x",C19=""),"Achtung, Feld C19 muss befüllt werden!",IF(C19-C18&gt;5,"ACHTUNG: Indexierung ist nur für einen Zeitraum von max. 5 Jahren möglich!",""))</f>
        <v/>
      </c>
      <c r="E19" s="659"/>
      <c r="F19" s="941"/>
      <c r="G19" s="389"/>
      <c r="I19" s="114"/>
    </row>
    <row r="20" spans="1:9" s="928" customFormat="1" ht="15" customHeight="1" x14ac:dyDescent="0.35">
      <c r="A20" s="940"/>
      <c r="B20" s="946" t="s">
        <v>350</v>
      </c>
      <c r="C20" s="947">
        <f>IF(C19&gt;C18,VLOOKUP(E20,'Anlage Inflationsraten'!I6:J35,2)-1,0)</f>
        <v>0</v>
      </c>
      <c r="D20" s="938" t="s">
        <v>355</v>
      </c>
      <c r="E20" s="932" t="str">
        <f>+C18&amp;C19</f>
        <v/>
      </c>
      <c r="F20" s="936"/>
      <c r="G20" s="389"/>
      <c r="I20" s="114"/>
    </row>
    <row r="21" spans="1:9" s="928" customFormat="1" ht="15" customHeight="1" x14ac:dyDescent="0.35">
      <c r="A21" s="427"/>
      <c r="B21" s="933"/>
      <c r="C21" s="969" t="str">
        <f>+IF(AND(C18&gt;=C19,C13="x"),"Achtung, falsche Jahreszahlen!","")</f>
        <v/>
      </c>
      <c r="D21" s="1104" t="s">
        <v>360</v>
      </c>
      <c r="E21" s="1105"/>
      <c r="F21" s="1106"/>
      <c r="G21" s="389"/>
      <c r="I21" s="114"/>
    </row>
    <row r="22" spans="1:9" s="928" customFormat="1" ht="15" customHeight="1" x14ac:dyDescent="0.35">
      <c r="A22" s="937"/>
      <c r="B22" s="939"/>
      <c r="C22" s="939"/>
      <c r="D22" s="1107"/>
      <c r="E22" s="1108"/>
      <c r="F22" s="1109"/>
      <c r="G22" s="389"/>
      <c r="I22" s="114"/>
    </row>
    <row r="23" spans="1:9" s="928" customFormat="1" ht="15" customHeight="1" thickBot="1" x14ac:dyDescent="0.4">
      <c r="A23" s="930"/>
      <c r="B23" s="659"/>
      <c r="C23" s="659"/>
      <c r="D23" s="659"/>
      <c r="E23" s="659"/>
      <c r="F23" s="659"/>
      <c r="G23" s="389"/>
      <c r="I23" s="114"/>
    </row>
    <row r="24" spans="1:9" ht="15" customHeight="1" thickBot="1" x14ac:dyDescent="0.55000000000000004">
      <c r="A24" s="983"/>
      <c r="B24" s="977" t="str">
        <f>+IF(C11="x","Neuverhandlung",IF(C13="x","Indexierung",""))</f>
        <v/>
      </c>
      <c r="C24" s="984"/>
      <c r="D24" s="985"/>
      <c r="E24" s="985"/>
      <c r="F24" s="986"/>
    </row>
    <row r="25" spans="1:9" ht="30" customHeight="1" x14ac:dyDescent="0.35">
      <c r="A25" s="979" t="s">
        <v>100</v>
      </c>
      <c r="B25" s="966" t="str">
        <f>+IF(C11="x","umlegbare Nebenkosten",IF(C13="x","Werte letzte Verhandlung",""))</f>
        <v/>
      </c>
      <c r="C25" s="966" t="s">
        <v>358</v>
      </c>
      <c r="D25" s="980" t="s">
        <v>21</v>
      </c>
      <c r="E25" s="981" t="s">
        <v>174</v>
      </c>
      <c r="F25" s="982" t="s">
        <v>20</v>
      </c>
      <c r="I25" s="355"/>
    </row>
    <row r="26" spans="1:9" ht="15.75" customHeight="1" x14ac:dyDescent="0.35">
      <c r="A26" s="902"/>
      <c r="B26" s="967" t="str">
        <f>IF(C13="x",C18,"")</f>
        <v/>
      </c>
      <c r="C26" s="968" t="str">
        <f>IF(C13="x",C19,"")</f>
        <v/>
      </c>
      <c r="D26" s="903" t="s">
        <v>101</v>
      </c>
      <c r="E26" s="904" t="s">
        <v>175</v>
      </c>
      <c r="F26" s="653" t="s">
        <v>101</v>
      </c>
      <c r="I26" s="355"/>
    </row>
    <row r="27" spans="1:9" ht="15" thickBot="1" x14ac:dyDescent="0.4">
      <c r="A27" s="905" t="s">
        <v>164</v>
      </c>
      <c r="B27" s="931" t="s">
        <v>357</v>
      </c>
      <c r="C27" s="931" t="s">
        <v>357</v>
      </c>
      <c r="D27" s="376" t="e">
        <f>+IF(D8="x",'A Flächen'!E169,'A Flächen'!E174)</f>
        <v>#DIV/0!</v>
      </c>
      <c r="E27" s="906"/>
      <c r="F27" s="377" t="e">
        <f>+IF(D8="x",'A Flächen'!E170,'A Flächen'!E175)</f>
        <v>#DIV/0!</v>
      </c>
      <c r="I27" s="355"/>
    </row>
    <row r="28" spans="1:9" x14ac:dyDescent="0.35">
      <c r="A28" s="359" t="s">
        <v>43</v>
      </c>
      <c r="B28" s="360"/>
      <c r="C28" s="948" t="str">
        <f>+IF($C$11="x",B28,IF($C$13="x",B28*(1+$C$20),""))</f>
        <v/>
      </c>
      <c r="D28" s="370" t="e">
        <f>+C28*$D$27</f>
        <v>#VALUE!</v>
      </c>
      <c r="E28" s="371" t="e">
        <f>+D28/Stammdaten!$B$7/12</f>
        <v>#VALUE!</v>
      </c>
      <c r="F28" s="372" t="e">
        <f>+C28*$F$27</f>
        <v>#VALUE!</v>
      </c>
      <c r="I28" s="355"/>
    </row>
    <row r="29" spans="1:9" x14ac:dyDescent="0.35">
      <c r="A29" s="361" t="s">
        <v>44</v>
      </c>
      <c r="B29" s="202"/>
      <c r="C29" s="948" t="str">
        <f t="shared" ref="C29:C47" si="0">+IF($C$11="x",B29,IF($C$13="x",B29*(1+$C$20),""))</f>
        <v/>
      </c>
      <c r="D29" s="370" t="e">
        <f t="shared" ref="D29:D47" si="1">+C29*$D$27</f>
        <v>#VALUE!</v>
      </c>
      <c r="E29" s="371" t="e">
        <f>+D29/Stammdaten!$B$7/12</f>
        <v>#VALUE!</v>
      </c>
      <c r="F29" s="372" t="e">
        <f t="shared" ref="F29:F47" si="2">+C29*$F$27</f>
        <v>#VALUE!</v>
      </c>
      <c r="I29" s="355"/>
    </row>
    <row r="30" spans="1:9" x14ac:dyDescent="0.35">
      <c r="A30" s="361" t="s">
        <v>373</v>
      </c>
      <c r="B30" s="202"/>
      <c r="C30" s="948" t="str">
        <f t="shared" si="0"/>
        <v/>
      </c>
      <c r="D30" s="370" t="e">
        <f t="shared" si="1"/>
        <v>#VALUE!</v>
      </c>
      <c r="E30" s="371" t="e">
        <f>+D30/Stammdaten!$B$7/12</f>
        <v>#VALUE!</v>
      </c>
      <c r="F30" s="372" t="e">
        <f t="shared" si="2"/>
        <v>#VALUE!</v>
      </c>
      <c r="I30" s="355"/>
    </row>
    <row r="31" spans="1:9" x14ac:dyDescent="0.35">
      <c r="A31" s="361" t="s">
        <v>374</v>
      </c>
      <c r="B31" s="202"/>
      <c r="C31" s="948" t="str">
        <f t="shared" si="0"/>
        <v/>
      </c>
      <c r="D31" s="370" t="e">
        <f t="shared" si="1"/>
        <v>#VALUE!</v>
      </c>
      <c r="E31" s="371" t="e">
        <f>+D31/Stammdaten!$B$7/12</f>
        <v>#VALUE!</v>
      </c>
      <c r="F31" s="372" t="e">
        <f t="shared" si="2"/>
        <v>#VALUE!</v>
      </c>
      <c r="I31" s="355"/>
    </row>
    <row r="32" spans="1:9" x14ac:dyDescent="0.35">
      <c r="A32" s="361" t="s">
        <v>47</v>
      </c>
      <c r="B32" s="202"/>
      <c r="C32" s="948" t="str">
        <f t="shared" si="0"/>
        <v/>
      </c>
      <c r="D32" s="370" t="e">
        <f t="shared" si="1"/>
        <v>#VALUE!</v>
      </c>
      <c r="E32" s="371" t="e">
        <f>+D32/Stammdaten!$B$7/12</f>
        <v>#VALUE!</v>
      </c>
      <c r="F32" s="372" t="e">
        <f t="shared" si="2"/>
        <v>#VALUE!</v>
      </c>
      <c r="I32" s="355"/>
    </row>
    <row r="33" spans="1:9" x14ac:dyDescent="0.35">
      <c r="A33" s="361" t="s">
        <v>48</v>
      </c>
      <c r="B33" s="202"/>
      <c r="C33" s="948" t="str">
        <f t="shared" si="0"/>
        <v/>
      </c>
      <c r="D33" s="370" t="e">
        <f t="shared" si="1"/>
        <v>#VALUE!</v>
      </c>
      <c r="E33" s="371" t="e">
        <f>+D33/Stammdaten!$B$7/12</f>
        <v>#VALUE!</v>
      </c>
      <c r="F33" s="372" t="e">
        <f t="shared" si="2"/>
        <v>#VALUE!</v>
      </c>
      <c r="I33" s="355"/>
    </row>
    <row r="34" spans="1:9" x14ac:dyDescent="0.35">
      <c r="A34" s="361" t="s">
        <v>29</v>
      </c>
      <c r="B34" s="202"/>
      <c r="C34" s="948" t="str">
        <f t="shared" si="0"/>
        <v/>
      </c>
      <c r="D34" s="370" t="e">
        <f t="shared" si="1"/>
        <v>#VALUE!</v>
      </c>
      <c r="E34" s="371" t="e">
        <f>+D34/Stammdaten!$B$7/12</f>
        <v>#VALUE!</v>
      </c>
      <c r="F34" s="372" t="e">
        <f t="shared" si="2"/>
        <v>#VALUE!</v>
      </c>
      <c r="I34" s="355"/>
    </row>
    <row r="35" spans="1:9" x14ac:dyDescent="0.35">
      <c r="A35" s="361" t="s">
        <v>30</v>
      </c>
      <c r="B35" s="202"/>
      <c r="C35" s="948" t="str">
        <f t="shared" si="0"/>
        <v/>
      </c>
      <c r="D35" s="370" t="e">
        <f t="shared" si="1"/>
        <v>#VALUE!</v>
      </c>
      <c r="E35" s="371" t="e">
        <f>+D35/Stammdaten!$B$7/12</f>
        <v>#VALUE!</v>
      </c>
      <c r="F35" s="372" t="e">
        <f t="shared" si="2"/>
        <v>#VALUE!</v>
      </c>
      <c r="I35" s="355"/>
    </row>
    <row r="36" spans="1:9" x14ac:dyDescent="0.35">
      <c r="A36" s="361" t="s">
        <v>31</v>
      </c>
      <c r="B36" s="364"/>
      <c r="C36" s="948" t="str">
        <f t="shared" si="0"/>
        <v/>
      </c>
      <c r="D36" s="370" t="e">
        <f t="shared" si="1"/>
        <v>#VALUE!</v>
      </c>
      <c r="E36" s="371" t="e">
        <f>+D36/Stammdaten!$B$7/12</f>
        <v>#VALUE!</v>
      </c>
      <c r="F36" s="372" t="e">
        <f t="shared" si="2"/>
        <v>#VALUE!</v>
      </c>
      <c r="I36" s="355"/>
    </row>
    <row r="37" spans="1:9" x14ac:dyDescent="0.35">
      <c r="A37" s="361" t="s">
        <v>32</v>
      </c>
      <c r="B37" s="364"/>
      <c r="C37" s="948" t="str">
        <f t="shared" si="0"/>
        <v/>
      </c>
      <c r="D37" s="370" t="e">
        <f t="shared" si="1"/>
        <v>#VALUE!</v>
      </c>
      <c r="E37" s="371" t="e">
        <f>+D37/Stammdaten!$B$7/12</f>
        <v>#VALUE!</v>
      </c>
      <c r="F37" s="372" t="e">
        <f t="shared" si="2"/>
        <v>#VALUE!</v>
      </c>
    </row>
    <row r="38" spans="1:9" x14ac:dyDescent="0.35">
      <c r="A38" s="361" t="s">
        <v>33</v>
      </c>
      <c r="B38" s="364"/>
      <c r="C38" s="948" t="str">
        <f t="shared" si="0"/>
        <v/>
      </c>
      <c r="D38" s="370" t="e">
        <f t="shared" si="1"/>
        <v>#VALUE!</v>
      </c>
      <c r="E38" s="371" t="e">
        <f>+D38/Stammdaten!$B$7/12</f>
        <v>#VALUE!</v>
      </c>
      <c r="F38" s="372" t="e">
        <f t="shared" si="2"/>
        <v>#VALUE!</v>
      </c>
    </row>
    <row r="39" spans="1:9" x14ac:dyDescent="0.35">
      <c r="A39" s="361" t="s">
        <v>34</v>
      </c>
      <c r="B39" s="364"/>
      <c r="C39" s="948" t="str">
        <f t="shared" si="0"/>
        <v/>
      </c>
      <c r="D39" s="370" t="e">
        <f t="shared" si="1"/>
        <v>#VALUE!</v>
      </c>
      <c r="E39" s="371" t="e">
        <f>+D39/Stammdaten!$B$7/12</f>
        <v>#VALUE!</v>
      </c>
      <c r="F39" s="372" t="e">
        <f t="shared" si="2"/>
        <v>#VALUE!</v>
      </c>
    </row>
    <row r="40" spans="1:9" x14ac:dyDescent="0.35">
      <c r="A40" s="361" t="s">
        <v>35</v>
      </c>
      <c r="B40" s="364"/>
      <c r="C40" s="948" t="str">
        <f t="shared" si="0"/>
        <v/>
      </c>
      <c r="D40" s="370" t="e">
        <f t="shared" si="1"/>
        <v>#VALUE!</v>
      </c>
      <c r="E40" s="371" t="e">
        <f>+D40/Stammdaten!$B$7/12</f>
        <v>#VALUE!</v>
      </c>
      <c r="F40" s="372" t="e">
        <f t="shared" si="2"/>
        <v>#VALUE!</v>
      </c>
    </row>
    <row r="41" spans="1:9" x14ac:dyDescent="0.35">
      <c r="A41" s="361" t="s">
        <v>375</v>
      </c>
      <c r="B41" s="364"/>
      <c r="C41" s="948" t="str">
        <f t="shared" si="0"/>
        <v/>
      </c>
      <c r="D41" s="370" t="e">
        <f t="shared" si="1"/>
        <v>#VALUE!</v>
      </c>
      <c r="E41" s="371" t="e">
        <f>+D41/Stammdaten!$B$7/12</f>
        <v>#VALUE!</v>
      </c>
      <c r="F41" s="372" t="e">
        <f t="shared" si="2"/>
        <v>#VALUE!</v>
      </c>
    </row>
    <row r="42" spans="1:9" x14ac:dyDescent="0.35">
      <c r="A42" s="361" t="s">
        <v>38</v>
      </c>
      <c r="B42" s="364"/>
      <c r="C42" s="948" t="str">
        <f t="shared" si="0"/>
        <v/>
      </c>
      <c r="D42" s="370" t="e">
        <f t="shared" si="1"/>
        <v>#VALUE!</v>
      </c>
      <c r="E42" s="371" t="e">
        <f>+D42/Stammdaten!$B$7/12</f>
        <v>#VALUE!</v>
      </c>
      <c r="F42" s="372" t="e">
        <f t="shared" si="2"/>
        <v>#VALUE!</v>
      </c>
    </row>
    <row r="43" spans="1:9" ht="29" x14ac:dyDescent="0.35">
      <c r="A43" s="365" t="s">
        <v>50</v>
      </c>
      <c r="B43" s="364"/>
      <c r="C43" s="948" t="str">
        <f t="shared" si="0"/>
        <v/>
      </c>
      <c r="D43" s="370" t="e">
        <f t="shared" si="1"/>
        <v>#VALUE!</v>
      </c>
      <c r="E43" s="371" t="e">
        <f>+D43/Stammdaten!$B$7/12</f>
        <v>#VALUE!</v>
      </c>
      <c r="F43" s="372" t="e">
        <f t="shared" si="2"/>
        <v>#VALUE!</v>
      </c>
    </row>
    <row r="44" spans="1:9" x14ac:dyDescent="0.35">
      <c r="A44" s="926" t="s">
        <v>155</v>
      </c>
      <c r="B44" s="364"/>
      <c r="C44" s="948" t="str">
        <f t="shared" si="0"/>
        <v/>
      </c>
      <c r="D44" s="370" t="e">
        <f>+C44*$D$27</f>
        <v>#VALUE!</v>
      </c>
      <c r="E44" s="371" t="e">
        <f>+D44/Stammdaten!$B$7/12</f>
        <v>#VALUE!</v>
      </c>
      <c r="F44" s="372" t="e">
        <f>+C44*$F$27</f>
        <v>#VALUE!</v>
      </c>
    </row>
    <row r="45" spans="1:9" x14ac:dyDescent="0.35">
      <c r="A45" s="366" t="s">
        <v>49</v>
      </c>
      <c r="B45" s="364"/>
      <c r="C45" s="948" t="str">
        <f t="shared" si="0"/>
        <v/>
      </c>
      <c r="D45" s="370" t="e">
        <f t="shared" si="1"/>
        <v>#VALUE!</v>
      </c>
      <c r="E45" s="371" t="e">
        <f>+D45/Stammdaten!$B$7/12</f>
        <v>#VALUE!</v>
      </c>
      <c r="F45" s="372" t="e">
        <f t="shared" si="2"/>
        <v>#VALUE!</v>
      </c>
    </row>
    <row r="46" spans="1:9" x14ac:dyDescent="0.35">
      <c r="A46" s="559" t="s">
        <v>165</v>
      </c>
      <c r="B46" s="560"/>
      <c r="C46" s="948" t="str">
        <f t="shared" si="0"/>
        <v/>
      </c>
      <c r="D46" s="370" t="e">
        <f t="shared" si="1"/>
        <v>#VALUE!</v>
      </c>
      <c r="E46" s="371" t="e">
        <f>+D46/Stammdaten!$B$7/12</f>
        <v>#VALUE!</v>
      </c>
      <c r="F46" s="372" t="e">
        <f t="shared" si="2"/>
        <v>#VALUE!</v>
      </c>
    </row>
    <row r="47" spans="1:9" ht="15" thickBot="1" x14ac:dyDescent="0.4">
      <c r="A47" s="367"/>
      <c r="B47" s="368"/>
      <c r="C47" s="949" t="str">
        <f t="shared" si="0"/>
        <v/>
      </c>
      <c r="D47" s="373" t="e">
        <f t="shared" si="1"/>
        <v>#VALUE!</v>
      </c>
      <c r="E47" s="374" t="e">
        <f>+D47/Stammdaten!$B$7/12</f>
        <v>#VALUE!</v>
      </c>
      <c r="F47" s="375" t="e">
        <f t="shared" si="2"/>
        <v>#VALUE!</v>
      </c>
    </row>
    <row r="48" spans="1:9" x14ac:dyDescent="0.35">
      <c r="A48" s="907" t="s">
        <v>10</v>
      </c>
      <c r="B48" s="378">
        <f>+SUM(B28:B47)</f>
        <v>0</v>
      </c>
      <c r="C48" s="378">
        <f>+SUM(C28:C47)</f>
        <v>0</v>
      </c>
      <c r="D48" s="378" t="e">
        <f>+SUM(D28:D47)</f>
        <v>#VALUE!</v>
      </c>
      <c r="E48" s="378"/>
      <c r="F48" s="378" t="e">
        <f>+SUM(F28:F47)</f>
        <v>#VALUE!</v>
      </c>
      <c r="I48" s="369"/>
    </row>
    <row r="49" spans="1:10" x14ac:dyDescent="0.35">
      <c r="A49" s="680" t="s">
        <v>18</v>
      </c>
      <c r="B49" s="379">
        <f>+'B_1 Geb. Kaltmiete'!B104</f>
        <v>0.96499999999999997</v>
      </c>
      <c r="C49" s="950">
        <f>+'B_1 Geb. Kaltmiete'!B104</f>
        <v>0.96499999999999997</v>
      </c>
      <c r="D49" s="908"/>
      <c r="E49" s="909"/>
      <c r="F49" s="909"/>
      <c r="I49" s="369"/>
    </row>
    <row r="50" spans="1:10" x14ac:dyDescent="0.35">
      <c r="A50" s="663" t="s">
        <v>225</v>
      </c>
      <c r="B50" s="264" t="e">
        <f>+B48/B49/Stammdaten!B7</f>
        <v>#DIV/0!</v>
      </c>
      <c r="C50" s="264" t="e">
        <f>+C48/C49/Stammdaten!B7</f>
        <v>#DIV/0!</v>
      </c>
      <c r="D50" s="264" t="e">
        <f>+D48/B49/Stammdaten!B7</f>
        <v>#VALUE!</v>
      </c>
      <c r="E50" s="264"/>
      <c r="F50" s="264" t="e">
        <f>+F48/B49/Stammdaten!B7</f>
        <v>#VALUE!</v>
      </c>
      <c r="I50" s="355"/>
    </row>
    <row r="51" spans="1:10" ht="19" thickBot="1" x14ac:dyDescent="0.5">
      <c r="A51" s="1008" t="s">
        <v>226</v>
      </c>
      <c r="B51" s="1009" t="e">
        <f>+B50/12</f>
        <v>#DIV/0!</v>
      </c>
      <c r="C51" s="1009" t="e">
        <f>+C50/12</f>
        <v>#DIV/0!</v>
      </c>
      <c r="D51" s="1009" t="e">
        <f>+D50/12</f>
        <v>#VALUE!</v>
      </c>
      <c r="E51" s="1009"/>
      <c r="F51" s="1009" t="e">
        <f>+F50/12</f>
        <v>#VALUE!</v>
      </c>
      <c r="I51" s="355"/>
    </row>
    <row r="52" spans="1:10" ht="13" x14ac:dyDescent="0.3">
      <c r="C52" s="76"/>
      <c r="H52" s="380" t="s">
        <v>6</v>
      </c>
      <c r="I52" s="162" t="e">
        <f>(C51*Stammdaten!B7*12)*C49-C48</f>
        <v>#DIV/0!</v>
      </c>
      <c r="J52" s="162" t="e">
        <f>+C51-D51-F51</f>
        <v>#DIV/0!</v>
      </c>
    </row>
    <row r="53" spans="1:10" ht="15" thickBot="1" x14ac:dyDescent="0.4"/>
    <row r="54" spans="1:10" ht="45" customHeight="1" thickBot="1" x14ac:dyDescent="0.4">
      <c r="A54" s="1080" t="s">
        <v>311</v>
      </c>
      <c r="B54" s="1039"/>
      <c r="C54" s="1039"/>
      <c r="D54" s="1039"/>
      <c r="E54" s="1039"/>
      <c r="F54" s="1040"/>
    </row>
  </sheetData>
  <sheetProtection algorithmName="SHA-512" hashValue="jGK3JVIIpQwxBCa5kXNEofSHprKWA3T1O4EDYkpU1GrFhkHyCcjTddTK4Y+5+YanMoowGxLjiOlx9F0UPb+ytA==" saltValue="HGskFtQU+/MLHF0RkSzswQ==" spinCount="100000" sheet="1" objects="1" scenarios="1"/>
  <dataConsolidate/>
  <mergeCells count="13">
    <mergeCell ref="A54:F54"/>
    <mergeCell ref="A5:F5"/>
    <mergeCell ref="D6:D7"/>
    <mergeCell ref="D8:D9"/>
    <mergeCell ref="A6:C6"/>
    <mergeCell ref="A8:C8"/>
    <mergeCell ref="A13:B13"/>
    <mergeCell ref="C13:C14"/>
    <mergeCell ref="D13:F14"/>
    <mergeCell ref="A11:B11"/>
    <mergeCell ref="C11:C12"/>
    <mergeCell ref="D11:F12"/>
    <mergeCell ref="D21:F22"/>
  </mergeCells>
  <conditionalFormatting sqref="I52:J52">
    <cfRule type="expression" dxfId="60" priority="22">
      <formula>OR(I52&lt;-0.0009,I52&gt;0.0009)</formula>
    </cfRule>
  </conditionalFormatting>
  <conditionalFormatting sqref="D6:D7">
    <cfRule type="expression" dxfId="59" priority="20">
      <formula>AND($D$6="x",$D$8="x")</formula>
    </cfRule>
    <cfRule type="expression" dxfId="58" priority="21">
      <formula>$D$8="x"</formula>
    </cfRule>
  </conditionalFormatting>
  <conditionalFormatting sqref="D8:D9">
    <cfRule type="expression" dxfId="57" priority="18">
      <formula>AND($D$6="x",$D$8="x")</formula>
    </cfRule>
    <cfRule type="expression" dxfId="56" priority="19">
      <formula>$D$6="x"</formula>
    </cfRule>
  </conditionalFormatting>
  <conditionalFormatting sqref="C11:C12">
    <cfRule type="expression" dxfId="55" priority="8">
      <formula>AND($C$11="x",$C$13="x")</formula>
    </cfRule>
    <cfRule type="expression" dxfId="54" priority="10">
      <formula>$C$13="x"</formula>
    </cfRule>
  </conditionalFormatting>
  <conditionalFormatting sqref="C13:C14">
    <cfRule type="expression" dxfId="53" priority="7">
      <formula>AND($C$11="x",$C$13="x")</formula>
    </cfRule>
    <cfRule type="expression" dxfId="52" priority="9">
      <formula>$C$11="x"</formula>
    </cfRule>
  </conditionalFormatting>
  <conditionalFormatting sqref="C18:C19">
    <cfRule type="expression" dxfId="51" priority="1">
      <formula>$C$13="x"</formula>
    </cfRule>
  </conditionalFormatting>
  <dataValidations count="2">
    <dataValidation type="whole" operator="greaterThanOrEqual" allowBlank="1" showInputMessage="1" showErrorMessage="1" sqref="C18" xr:uid="{B83DA4E2-7334-46D8-9244-1D42044443A7}">
      <formula1>2022</formula1>
    </dataValidation>
    <dataValidation type="whole" operator="greaterThanOrEqual" allowBlank="1" showInputMessage="1" showErrorMessage="1" sqref="C19" xr:uid="{8F402C16-4195-490E-908D-87C87C548B69}">
      <formula1>2024</formula1>
    </dataValidation>
  </dataValidations>
  <pageMargins left="0.78740157499999996" right="0.78740157499999996" top="0.984251969" bottom="0.984251969" header="0.4921259845" footer="0.4921259845"/>
  <pageSetup paperSize="9" scale="69"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zoomScaleNormal="100" workbookViewId="0">
      <selection activeCell="A5" sqref="A5"/>
    </sheetView>
  </sheetViews>
  <sheetFormatPr baseColWidth="10" defaultRowHeight="14.5" x14ac:dyDescent="0.35"/>
  <cols>
    <col min="1" max="1" width="35.7265625" style="355" customWidth="1"/>
    <col min="2" max="2" width="12.54296875" style="355" customWidth="1"/>
    <col min="3" max="3" width="13.81640625" style="355" customWidth="1"/>
    <col min="4" max="5" width="15.7265625" style="355" customWidth="1"/>
    <col min="6" max="6" width="13.81640625" style="60" customWidth="1"/>
    <col min="7" max="7" width="8.54296875" style="355" customWidth="1"/>
    <col min="8" max="8" width="8.26953125" style="355" customWidth="1"/>
    <col min="9" max="249" width="11.453125" style="355"/>
    <col min="250" max="250" width="35.7265625" style="355" customWidth="1"/>
    <col min="251" max="251" width="15.7265625" style="355" customWidth="1"/>
    <col min="252" max="254" width="0" style="355" hidden="1" customWidth="1"/>
    <col min="255" max="255" width="3.26953125" style="355" customWidth="1"/>
    <col min="256" max="258" width="15.7265625" style="355" customWidth="1"/>
    <col min="259" max="259" width="11.453125" style="355"/>
    <col min="260" max="260" width="12.81640625" style="355" customWidth="1"/>
    <col min="261" max="261" width="11.453125" style="355" customWidth="1"/>
    <col min="262" max="505" width="11.453125" style="355"/>
    <col min="506" max="506" width="35.7265625" style="355" customWidth="1"/>
    <col min="507" max="507" width="15.7265625" style="355" customWidth="1"/>
    <col min="508" max="510" width="0" style="355" hidden="1" customWidth="1"/>
    <col min="511" max="511" width="3.26953125" style="355" customWidth="1"/>
    <col min="512" max="514" width="15.7265625" style="355" customWidth="1"/>
    <col min="515" max="515" width="11.453125" style="355"/>
    <col min="516" max="516" width="12.81640625" style="355" customWidth="1"/>
    <col min="517" max="517" width="11.453125" style="355" customWidth="1"/>
    <col min="518" max="761" width="11.453125" style="355"/>
    <col min="762" max="762" width="35.7265625" style="355" customWidth="1"/>
    <col min="763" max="763" width="15.7265625" style="355" customWidth="1"/>
    <col min="764" max="766" width="0" style="355" hidden="1" customWidth="1"/>
    <col min="767" max="767" width="3.26953125" style="355" customWidth="1"/>
    <col min="768" max="770" width="15.7265625" style="355" customWidth="1"/>
    <col min="771" max="771" width="11.453125" style="355"/>
    <col min="772" max="772" width="12.81640625" style="355" customWidth="1"/>
    <col min="773" max="773" width="11.453125" style="355" customWidth="1"/>
    <col min="774" max="1017" width="11.453125" style="355"/>
    <col min="1018" max="1018" width="35.7265625" style="355" customWidth="1"/>
    <col min="1019" max="1019" width="15.7265625" style="355" customWidth="1"/>
    <col min="1020" max="1022" width="0" style="355" hidden="1" customWidth="1"/>
    <col min="1023" max="1023" width="3.26953125" style="355" customWidth="1"/>
    <col min="1024" max="1026" width="15.7265625" style="355" customWidth="1"/>
    <col min="1027" max="1027" width="11.453125" style="355"/>
    <col min="1028" max="1028" width="12.81640625" style="355" customWidth="1"/>
    <col min="1029" max="1029" width="11.453125" style="355" customWidth="1"/>
    <col min="1030" max="1273" width="11.453125" style="355"/>
    <col min="1274" max="1274" width="35.7265625" style="355" customWidth="1"/>
    <col min="1275" max="1275" width="15.7265625" style="355" customWidth="1"/>
    <col min="1276" max="1278" width="0" style="355" hidden="1" customWidth="1"/>
    <col min="1279" max="1279" width="3.26953125" style="355" customWidth="1"/>
    <col min="1280" max="1282" width="15.7265625" style="355" customWidth="1"/>
    <col min="1283" max="1283" width="11.453125" style="355"/>
    <col min="1284" max="1284" width="12.81640625" style="355" customWidth="1"/>
    <col min="1285" max="1285" width="11.453125" style="355" customWidth="1"/>
    <col min="1286" max="1529" width="11.453125" style="355"/>
    <col min="1530" max="1530" width="35.7265625" style="355" customWidth="1"/>
    <col min="1531" max="1531" width="15.7265625" style="355" customWidth="1"/>
    <col min="1532" max="1534" width="0" style="355" hidden="1" customWidth="1"/>
    <col min="1535" max="1535" width="3.26953125" style="355" customWidth="1"/>
    <col min="1536" max="1538" width="15.7265625" style="355" customWidth="1"/>
    <col min="1539" max="1539" width="11.453125" style="355"/>
    <col min="1540" max="1540" width="12.81640625" style="355" customWidth="1"/>
    <col min="1541" max="1541" width="11.453125" style="355" customWidth="1"/>
    <col min="1542" max="1785" width="11.453125" style="355"/>
    <col min="1786" max="1786" width="35.7265625" style="355" customWidth="1"/>
    <col min="1787" max="1787" width="15.7265625" style="355" customWidth="1"/>
    <col min="1788" max="1790" width="0" style="355" hidden="1" customWidth="1"/>
    <col min="1791" max="1791" width="3.26953125" style="355" customWidth="1"/>
    <col min="1792" max="1794" width="15.7265625" style="355" customWidth="1"/>
    <col min="1795" max="1795" width="11.453125" style="355"/>
    <col min="1796" max="1796" width="12.81640625" style="355" customWidth="1"/>
    <col min="1797" max="1797" width="11.453125" style="355" customWidth="1"/>
    <col min="1798" max="2041" width="11.453125" style="355"/>
    <col min="2042" max="2042" width="35.7265625" style="355" customWidth="1"/>
    <col min="2043" max="2043" width="15.7265625" style="355" customWidth="1"/>
    <col min="2044" max="2046" width="0" style="355" hidden="1" customWidth="1"/>
    <col min="2047" max="2047" width="3.26953125" style="355" customWidth="1"/>
    <col min="2048" max="2050" width="15.7265625" style="355" customWidth="1"/>
    <col min="2051" max="2051" width="11.453125" style="355"/>
    <col min="2052" max="2052" width="12.81640625" style="355" customWidth="1"/>
    <col min="2053" max="2053" width="11.453125" style="355" customWidth="1"/>
    <col min="2054" max="2297" width="11.453125" style="355"/>
    <col min="2298" max="2298" width="35.7265625" style="355" customWidth="1"/>
    <col min="2299" max="2299" width="15.7265625" style="355" customWidth="1"/>
    <col min="2300" max="2302" width="0" style="355" hidden="1" customWidth="1"/>
    <col min="2303" max="2303" width="3.26953125" style="355" customWidth="1"/>
    <col min="2304" max="2306" width="15.7265625" style="355" customWidth="1"/>
    <col min="2307" max="2307" width="11.453125" style="355"/>
    <col min="2308" max="2308" width="12.81640625" style="355" customWidth="1"/>
    <col min="2309" max="2309" width="11.453125" style="355" customWidth="1"/>
    <col min="2310" max="2553" width="11.453125" style="355"/>
    <col min="2554" max="2554" width="35.7265625" style="355" customWidth="1"/>
    <col min="2555" max="2555" width="15.7265625" style="355" customWidth="1"/>
    <col min="2556" max="2558" width="0" style="355" hidden="1" customWidth="1"/>
    <col min="2559" max="2559" width="3.26953125" style="355" customWidth="1"/>
    <col min="2560" max="2562" width="15.7265625" style="355" customWidth="1"/>
    <col min="2563" max="2563" width="11.453125" style="355"/>
    <col min="2564" max="2564" width="12.81640625" style="355" customWidth="1"/>
    <col min="2565" max="2565" width="11.453125" style="355" customWidth="1"/>
    <col min="2566" max="2809" width="11.453125" style="355"/>
    <col min="2810" max="2810" width="35.7265625" style="355" customWidth="1"/>
    <col min="2811" max="2811" width="15.7265625" style="355" customWidth="1"/>
    <col min="2812" max="2814" width="0" style="355" hidden="1" customWidth="1"/>
    <col min="2815" max="2815" width="3.26953125" style="355" customWidth="1"/>
    <col min="2816" max="2818" width="15.7265625" style="355" customWidth="1"/>
    <col min="2819" max="2819" width="11.453125" style="355"/>
    <col min="2820" max="2820" width="12.81640625" style="355" customWidth="1"/>
    <col min="2821" max="2821" width="11.453125" style="355" customWidth="1"/>
    <col min="2822" max="3065" width="11.453125" style="355"/>
    <col min="3066" max="3066" width="35.7265625" style="355" customWidth="1"/>
    <col min="3067" max="3067" width="15.7265625" style="355" customWidth="1"/>
    <col min="3068" max="3070" width="0" style="355" hidden="1" customWidth="1"/>
    <col min="3071" max="3071" width="3.26953125" style="355" customWidth="1"/>
    <col min="3072" max="3074" width="15.7265625" style="355" customWidth="1"/>
    <col min="3075" max="3075" width="11.453125" style="355"/>
    <col min="3076" max="3076" width="12.81640625" style="355" customWidth="1"/>
    <col min="3077" max="3077" width="11.453125" style="355" customWidth="1"/>
    <col min="3078" max="3321" width="11.453125" style="355"/>
    <col min="3322" max="3322" width="35.7265625" style="355" customWidth="1"/>
    <col min="3323" max="3323" width="15.7265625" style="355" customWidth="1"/>
    <col min="3324" max="3326" width="0" style="355" hidden="1" customWidth="1"/>
    <col min="3327" max="3327" width="3.26953125" style="355" customWidth="1"/>
    <col min="3328" max="3330" width="15.7265625" style="355" customWidth="1"/>
    <col min="3331" max="3331" width="11.453125" style="355"/>
    <col min="3332" max="3332" width="12.81640625" style="355" customWidth="1"/>
    <col min="3333" max="3333" width="11.453125" style="355" customWidth="1"/>
    <col min="3334" max="3577" width="11.453125" style="355"/>
    <col min="3578" max="3578" width="35.7265625" style="355" customWidth="1"/>
    <col min="3579" max="3579" width="15.7265625" style="355" customWidth="1"/>
    <col min="3580" max="3582" width="0" style="355" hidden="1" customWidth="1"/>
    <col min="3583" max="3583" width="3.26953125" style="355" customWidth="1"/>
    <col min="3584" max="3586" width="15.7265625" style="355" customWidth="1"/>
    <col min="3587" max="3587" width="11.453125" style="355"/>
    <col min="3588" max="3588" width="12.81640625" style="355" customWidth="1"/>
    <col min="3589" max="3589" width="11.453125" style="355" customWidth="1"/>
    <col min="3590" max="3833" width="11.453125" style="355"/>
    <col min="3834" max="3834" width="35.7265625" style="355" customWidth="1"/>
    <col min="3835" max="3835" width="15.7265625" style="355" customWidth="1"/>
    <col min="3836" max="3838" width="0" style="355" hidden="1" customWidth="1"/>
    <col min="3839" max="3839" width="3.26953125" style="355" customWidth="1"/>
    <col min="3840" max="3842" width="15.7265625" style="355" customWidth="1"/>
    <col min="3843" max="3843" width="11.453125" style="355"/>
    <col min="3844" max="3844" width="12.81640625" style="355" customWidth="1"/>
    <col min="3845" max="3845" width="11.453125" style="355" customWidth="1"/>
    <col min="3846" max="4089" width="11.453125" style="355"/>
    <col min="4090" max="4090" width="35.7265625" style="355" customWidth="1"/>
    <col min="4091" max="4091" width="15.7265625" style="355" customWidth="1"/>
    <col min="4092" max="4094" width="0" style="355" hidden="1" customWidth="1"/>
    <col min="4095" max="4095" width="3.26953125" style="355" customWidth="1"/>
    <col min="4096" max="4098" width="15.7265625" style="355" customWidth="1"/>
    <col min="4099" max="4099" width="11.453125" style="355"/>
    <col min="4100" max="4100" width="12.81640625" style="355" customWidth="1"/>
    <col min="4101" max="4101" width="11.453125" style="355" customWidth="1"/>
    <col min="4102" max="4345" width="11.453125" style="355"/>
    <col min="4346" max="4346" width="35.7265625" style="355" customWidth="1"/>
    <col min="4347" max="4347" width="15.7265625" style="355" customWidth="1"/>
    <col min="4348" max="4350" width="0" style="355" hidden="1" customWidth="1"/>
    <col min="4351" max="4351" width="3.26953125" style="355" customWidth="1"/>
    <col min="4352" max="4354" width="15.7265625" style="355" customWidth="1"/>
    <col min="4355" max="4355" width="11.453125" style="355"/>
    <col min="4356" max="4356" width="12.81640625" style="355" customWidth="1"/>
    <col min="4357" max="4357" width="11.453125" style="355" customWidth="1"/>
    <col min="4358" max="4601" width="11.453125" style="355"/>
    <col min="4602" max="4602" width="35.7265625" style="355" customWidth="1"/>
    <col min="4603" max="4603" width="15.7265625" style="355" customWidth="1"/>
    <col min="4604" max="4606" width="0" style="355" hidden="1" customWidth="1"/>
    <col min="4607" max="4607" width="3.26953125" style="355" customWidth="1"/>
    <col min="4608" max="4610" width="15.7265625" style="355" customWidth="1"/>
    <col min="4611" max="4611" width="11.453125" style="355"/>
    <col min="4612" max="4612" width="12.81640625" style="355" customWidth="1"/>
    <col min="4613" max="4613" width="11.453125" style="355" customWidth="1"/>
    <col min="4614" max="4857" width="11.453125" style="355"/>
    <col min="4858" max="4858" width="35.7265625" style="355" customWidth="1"/>
    <col min="4859" max="4859" width="15.7265625" style="355" customWidth="1"/>
    <col min="4860" max="4862" width="0" style="355" hidden="1" customWidth="1"/>
    <col min="4863" max="4863" width="3.26953125" style="355" customWidth="1"/>
    <col min="4864" max="4866" width="15.7265625" style="355" customWidth="1"/>
    <col min="4867" max="4867" width="11.453125" style="355"/>
    <col min="4868" max="4868" width="12.81640625" style="355" customWidth="1"/>
    <col min="4869" max="4869" width="11.453125" style="355" customWidth="1"/>
    <col min="4870" max="5113" width="11.453125" style="355"/>
    <col min="5114" max="5114" width="35.7265625" style="355" customWidth="1"/>
    <col min="5115" max="5115" width="15.7265625" style="355" customWidth="1"/>
    <col min="5116" max="5118" width="0" style="355" hidden="1" customWidth="1"/>
    <col min="5119" max="5119" width="3.26953125" style="355" customWidth="1"/>
    <col min="5120" max="5122" width="15.7265625" style="355" customWidth="1"/>
    <col min="5123" max="5123" width="11.453125" style="355"/>
    <col min="5124" max="5124" width="12.81640625" style="355" customWidth="1"/>
    <col min="5125" max="5125" width="11.453125" style="355" customWidth="1"/>
    <col min="5126" max="5369" width="11.453125" style="355"/>
    <col min="5370" max="5370" width="35.7265625" style="355" customWidth="1"/>
    <col min="5371" max="5371" width="15.7265625" style="355" customWidth="1"/>
    <col min="5372" max="5374" width="0" style="355" hidden="1" customWidth="1"/>
    <col min="5375" max="5375" width="3.26953125" style="355" customWidth="1"/>
    <col min="5376" max="5378" width="15.7265625" style="355" customWidth="1"/>
    <col min="5379" max="5379" width="11.453125" style="355"/>
    <col min="5380" max="5380" width="12.81640625" style="355" customWidth="1"/>
    <col min="5381" max="5381" width="11.453125" style="355" customWidth="1"/>
    <col min="5382" max="5625" width="11.453125" style="355"/>
    <col min="5626" max="5626" width="35.7265625" style="355" customWidth="1"/>
    <col min="5627" max="5627" width="15.7265625" style="355" customWidth="1"/>
    <col min="5628" max="5630" width="0" style="355" hidden="1" customWidth="1"/>
    <col min="5631" max="5631" width="3.26953125" style="355" customWidth="1"/>
    <col min="5632" max="5634" width="15.7265625" style="355" customWidth="1"/>
    <col min="5635" max="5635" width="11.453125" style="355"/>
    <col min="5636" max="5636" width="12.81640625" style="355" customWidth="1"/>
    <col min="5637" max="5637" width="11.453125" style="355" customWidth="1"/>
    <col min="5638" max="5881" width="11.453125" style="355"/>
    <col min="5882" max="5882" width="35.7265625" style="355" customWidth="1"/>
    <col min="5883" max="5883" width="15.7265625" style="355" customWidth="1"/>
    <col min="5884" max="5886" width="0" style="355" hidden="1" customWidth="1"/>
    <col min="5887" max="5887" width="3.26953125" style="355" customWidth="1"/>
    <col min="5888" max="5890" width="15.7265625" style="355" customWidth="1"/>
    <col min="5891" max="5891" width="11.453125" style="355"/>
    <col min="5892" max="5892" width="12.81640625" style="355" customWidth="1"/>
    <col min="5893" max="5893" width="11.453125" style="355" customWidth="1"/>
    <col min="5894" max="6137" width="11.453125" style="355"/>
    <col min="6138" max="6138" width="35.7265625" style="355" customWidth="1"/>
    <col min="6139" max="6139" width="15.7265625" style="355" customWidth="1"/>
    <col min="6140" max="6142" width="0" style="355" hidden="1" customWidth="1"/>
    <col min="6143" max="6143" width="3.26953125" style="355" customWidth="1"/>
    <col min="6144" max="6146" width="15.7265625" style="355" customWidth="1"/>
    <col min="6147" max="6147" width="11.453125" style="355"/>
    <col min="6148" max="6148" width="12.81640625" style="355" customWidth="1"/>
    <col min="6149" max="6149" width="11.453125" style="355" customWidth="1"/>
    <col min="6150" max="6393" width="11.453125" style="355"/>
    <col min="6394" max="6394" width="35.7265625" style="355" customWidth="1"/>
    <col min="6395" max="6395" width="15.7265625" style="355" customWidth="1"/>
    <col min="6396" max="6398" width="0" style="355" hidden="1" customWidth="1"/>
    <col min="6399" max="6399" width="3.26953125" style="355" customWidth="1"/>
    <col min="6400" max="6402" width="15.7265625" style="355" customWidth="1"/>
    <col min="6403" max="6403" width="11.453125" style="355"/>
    <col min="6404" max="6404" width="12.81640625" style="355" customWidth="1"/>
    <col min="6405" max="6405" width="11.453125" style="355" customWidth="1"/>
    <col min="6406" max="6649" width="11.453125" style="355"/>
    <col min="6650" max="6650" width="35.7265625" style="355" customWidth="1"/>
    <col min="6651" max="6651" width="15.7265625" style="355" customWidth="1"/>
    <col min="6652" max="6654" width="0" style="355" hidden="1" customWidth="1"/>
    <col min="6655" max="6655" width="3.26953125" style="355" customWidth="1"/>
    <col min="6656" max="6658" width="15.7265625" style="355" customWidth="1"/>
    <col min="6659" max="6659" width="11.453125" style="355"/>
    <col min="6660" max="6660" width="12.81640625" style="355" customWidth="1"/>
    <col min="6661" max="6661" width="11.453125" style="355" customWidth="1"/>
    <col min="6662" max="6905" width="11.453125" style="355"/>
    <col min="6906" max="6906" width="35.7265625" style="355" customWidth="1"/>
    <col min="6907" max="6907" width="15.7265625" style="355" customWidth="1"/>
    <col min="6908" max="6910" width="0" style="355" hidden="1" customWidth="1"/>
    <col min="6911" max="6911" width="3.26953125" style="355" customWidth="1"/>
    <col min="6912" max="6914" width="15.7265625" style="355" customWidth="1"/>
    <col min="6915" max="6915" width="11.453125" style="355"/>
    <col min="6916" max="6916" width="12.81640625" style="355" customWidth="1"/>
    <col min="6917" max="6917" width="11.453125" style="355" customWidth="1"/>
    <col min="6918" max="7161" width="11.453125" style="355"/>
    <col min="7162" max="7162" width="35.7265625" style="355" customWidth="1"/>
    <col min="7163" max="7163" width="15.7265625" style="355" customWidth="1"/>
    <col min="7164" max="7166" width="0" style="355" hidden="1" customWidth="1"/>
    <col min="7167" max="7167" width="3.26953125" style="355" customWidth="1"/>
    <col min="7168" max="7170" width="15.7265625" style="355" customWidth="1"/>
    <col min="7171" max="7171" width="11.453125" style="355"/>
    <col min="7172" max="7172" width="12.81640625" style="355" customWidth="1"/>
    <col min="7173" max="7173" width="11.453125" style="355" customWidth="1"/>
    <col min="7174" max="7417" width="11.453125" style="355"/>
    <col min="7418" max="7418" width="35.7265625" style="355" customWidth="1"/>
    <col min="7419" max="7419" width="15.7265625" style="355" customWidth="1"/>
    <col min="7420" max="7422" width="0" style="355" hidden="1" customWidth="1"/>
    <col min="7423" max="7423" width="3.26953125" style="355" customWidth="1"/>
    <col min="7424" max="7426" width="15.7265625" style="355" customWidth="1"/>
    <col min="7427" max="7427" width="11.453125" style="355"/>
    <col min="7428" max="7428" width="12.81640625" style="355" customWidth="1"/>
    <col min="7429" max="7429" width="11.453125" style="355" customWidth="1"/>
    <col min="7430" max="7673" width="11.453125" style="355"/>
    <col min="7674" max="7674" width="35.7265625" style="355" customWidth="1"/>
    <col min="7675" max="7675" width="15.7265625" style="355" customWidth="1"/>
    <col min="7676" max="7678" width="0" style="355" hidden="1" customWidth="1"/>
    <col min="7679" max="7679" width="3.26953125" style="355" customWidth="1"/>
    <col min="7680" max="7682" width="15.7265625" style="355" customWidth="1"/>
    <col min="7683" max="7683" width="11.453125" style="355"/>
    <col min="7684" max="7684" width="12.81640625" style="355" customWidth="1"/>
    <col min="7685" max="7685" width="11.453125" style="355" customWidth="1"/>
    <col min="7686" max="7929" width="11.453125" style="355"/>
    <col min="7930" max="7930" width="35.7265625" style="355" customWidth="1"/>
    <col min="7931" max="7931" width="15.7265625" style="355" customWidth="1"/>
    <col min="7932" max="7934" width="0" style="355" hidden="1" customWidth="1"/>
    <col min="7935" max="7935" width="3.26953125" style="355" customWidth="1"/>
    <col min="7936" max="7938" width="15.7265625" style="355" customWidth="1"/>
    <col min="7939" max="7939" width="11.453125" style="355"/>
    <col min="7940" max="7940" width="12.81640625" style="355" customWidth="1"/>
    <col min="7941" max="7941" width="11.453125" style="355" customWidth="1"/>
    <col min="7942" max="8185" width="11.453125" style="355"/>
    <col min="8186" max="8186" width="35.7265625" style="355" customWidth="1"/>
    <col min="8187" max="8187" width="15.7265625" style="355" customWidth="1"/>
    <col min="8188" max="8190" width="0" style="355" hidden="1" customWidth="1"/>
    <col min="8191" max="8191" width="3.26953125" style="355" customWidth="1"/>
    <col min="8192" max="8194" width="15.7265625" style="355" customWidth="1"/>
    <col min="8195" max="8195" width="11.453125" style="355"/>
    <col min="8196" max="8196" width="12.81640625" style="355" customWidth="1"/>
    <col min="8197" max="8197" width="11.453125" style="355" customWidth="1"/>
    <col min="8198" max="8441" width="11.453125" style="355"/>
    <col min="8442" max="8442" width="35.7265625" style="355" customWidth="1"/>
    <col min="8443" max="8443" width="15.7265625" style="355" customWidth="1"/>
    <col min="8444" max="8446" width="0" style="355" hidden="1" customWidth="1"/>
    <col min="8447" max="8447" width="3.26953125" style="355" customWidth="1"/>
    <col min="8448" max="8450" width="15.7265625" style="355" customWidth="1"/>
    <col min="8451" max="8451" width="11.453125" style="355"/>
    <col min="8452" max="8452" width="12.81640625" style="355" customWidth="1"/>
    <col min="8453" max="8453" width="11.453125" style="355" customWidth="1"/>
    <col min="8454" max="8697" width="11.453125" style="355"/>
    <col min="8698" max="8698" width="35.7265625" style="355" customWidth="1"/>
    <col min="8699" max="8699" width="15.7265625" style="355" customWidth="1"/>
    <col min="8700" max="8702" width="0" style="355" hidden="1" customWidth="1"/>
    <col min="8703" max="8703" width="3.26953125" style="355" customWidth="1"/>
    <col min="8704" max="8706" width="15.7265625" style="355" customWidth="1"/>
    <col min="8707" max="8707" width="11.453125" style="355"/>
    <col min="8708" max="8708" width="12.81640625" style="355" customWidth="1"/>
    <col min="8709" max="8709" width="11.453125" style="355" customWidth="1"/>
    <col min="8710" max="8953" width="11.453125" style="355"/>
    <col min="8954" max="8954" width="35.7265625" style="355" customWidth="1"/>
    <col min="8955" max="8955" width="15.7265625" style="355" customWidth="1"/>
    <col min="8956" max="8958" width="0" style="355" hidden="1" customWidth="1"/>
    <col min="8959" max="8959" width="3.26953125" style="355" customWidth="1"/>
    <col min="8960" max="8962" width="15.7265625" style="355" customWidth="1"/>
    <col min="8963" max="8963" width="11.453125" style="355"/>
    <col min="8964" max="8964" width="12.81640625" style="355" customWidth="1"/>
    <col min="8965" max="8965" width="11.453125" style="355" customWidth="1"/>
    <col min="8966" max="9209" width="11.453125" style="355"/>
    <col min="9210" max="9210" width="35.7265625" style="355" customWidth="1"/>
    <col min="9211" max="9211" width="15.7265625" style="355" customWidth="1"/>
    <col min="9212" max="9214" width="0" style="355" hidden="1" customWidth="1"/>
    <col min="9215" max="9215" width="3.26953125" style="355" customWidth="1"/>
    <col min="9216" max="9218" width="15.7265625" style="355" customWidth="1"/>
    <col min="9219" max="9219" width="11.453125" style="355"/>
    <col min="9220" max="9220" width="12.81640625" style="355" customWidth="1"/>
    <col min="9221" max="9221" width="11.453125" style="355" customWidth="1"/>
    <col min="9222" max="9465" width="11.453125" style="355"/>
    <col min="9466" max="9466" width="35.7265625" style="355" customWidth="1"/>
    <col min="9467" max="9467" width="15.7265625" style="355" customWidth="1"/>
    <col min="9468" max="9470" width="0" style="355" hidden="1" customWidth="1"/>
    <col min="9471" max="9471" width="3.26953125" style="355" customWidth="1"/>
    <col min="9472" max="9474" width="15.7265625" style="355" customWidth="1"/>
    <col min="9475" max="9475" width="11.453125" style="355"/>
    <col min="9476" max="9476" width="12.81640625" style="355" customWidth="1"/>
    <col min="9477" max="9477" width="11.453125" style="355" customWidth="1"/>
    <col min="9478" max="9721" width="11.453125" style="355"/>
    <col min="9722" max="9722" width="35.7265625" style="355" customWidth="1"/>
    <col min="9723" max="9723" width="15.7265625" style="355" customWidth="1"/>
    <col min="9724" max="9726" width="0" style="355" hidden="1" customWidth="1"/>
    <col min="9727" max="9727" width="3.26953125" style="355" customWidth="1"/>
    <col min="9728" max="9730" width="15.7265625" style="355" customWidth="1"/>
    <col min="9731" max="9731" width="11.453125" style="355"/>
    <col min="9732" max="9732" width="12.81640625" style="355" customWidth="1"/>
    <col min="9733" max="9733" width="11.453125" style="355" customWidth="1"/>
    <col min="9734" max="9977" width="11.453125" style="355"/>
    <col min="9978" max="9978" width="35.7265625" style="355" customWidth="1"/>
    <col min="9979" max="9979" width="15.7265625" style="355" customWidth="1"/>
    <col min="9980" max="9982" width="0" style="355" hidden="1" customWidth="1"/>
    <col min="9983" max="9983" width="3.26953125" style="355" customWidth="1"/>
    <col min="9984" max="9986" width="15.7265625" style="355" customWidth="1"/>
    <col min="9987" max="9987" width="11.453125" style="355"/>
    <col min="9988" max="9988" width="12.81640625" style="355" customWidth="1"/>
    <col min="9989" max="9989" width="11.453125" style="355" customWidth="1"/>
    <col min="9990" max="10233" width="11.453125" style="355"/>
    <col min="10234" max="10234" width="35.7265625" style="355" customWidth="1"/>
    <col min="10235" max="10235" width="15.7265625" style="355" customWidth="1"/>
    <col min="10236" max="10238" width="0" style="355" hidden="1" customWidth="1"/>
    <col min="10239" max="10239" width="3.26953125" style="355" customWidth="1"/>
    <col min="10240" max="10242" width="15.7265625" style="355" customWidth="1"/>
    <col min="10243" max="10243" width="11.453125" style="355"/>
    <col min="10244" max="10244" width="12.81640625" style="355" customWidth="1"/>
    <col min="10245" max="10245" width="11.453125" style="355" customWidth="1"/>
    <col min="10246" max="10489" width="11.453125" style="355"/>
    <col min="10490" max="10490" width="35.7265625" style="355" customWidth="1"/>
    <col min="10491" max="10491" width="15.7265625" style="355" customWidth="1"/>
    <col min="10492" max="10494" width="0" style="355" hidden="1" customWidth="1"/>
    <col min="10495" max="10495" width="3.26953125" style="355" customWidth="1"/>
    <col min="10496" max="10498" width="15.7265625" style="355" customWidth="1"/>
    <col min="10499" max="10499" width="11.453125" style="355"/>
    <col min="10500" max="10500" width="12.81640625" style="355" customWidth="1"/>
    <col min="10501" max="10501" width="11.453125" style="355" customWidth="1"/>
    <col min="10502" max="10745" width="11.453125" style="355"/>
    <col min="10746" max="10746" width="35.7265625" style="355" customWidth="1"/>
    <col min="10747" max="10747" width="15.7265625" style="355" customWidth="1"/>
    <col min="10748" max="10750" width="0" style="355" hidden="1" customWidth="1"/>
    <col min="10751" max="10751" width="3.26953125" style="355" customWidth="1"/>
    <col min="10752" max="10754" width="15.7265625" style="355" customWidth="1"/>
    <col min="10755" max="10755" width="11.453125" style="355"/>
    <col min="10756" max="10756" width="12.81640625" style="355" customWidth="1"/>
    <col min="10757" max="10757" width="11.453125" style="355" customWidth="1"/>
    <col min="10758" max="11001" width="11.453125" style="355"/>
    <col min="11002" max="11002" width="35.7265625" style="355" customWidth="1"/>
    <col min="11003" max="11003" width="15.7265625" style="355" customWidth="1"/>
    <col min="11004" max="11006" width="0" style="355" hidden="1" customWidth="1"/>
    <col min="11007" max="11007" width="3.26953125" style="355" customWidth="1"/>
    <col min="11008" max="11010" width="15.7265625" style="355" customWidth="1"/>
    <col min="11011" max="11011" width="11.453125" style="355"/>
    <col min="11012" max="11012" width="12.81640625" style="355" customWidth="1"/>
    <col min="11013" max="11013" width="11.453125" style="355" customWidth="1"/>
    <col min="11014" max="11257" width="11.453125" style="355"/>
    <col min="11258" max="11258" width="35.7265625" style="355" customWidth="1"/>
    <col min="11259" max="11259" width="15.7265625" style="355" customWidth="1"/>
    <col min="11260" max="11262" width="0" style="355" hidden="1" customWidth="1"/>
    <col min="11263" max="11263" width="3.26953125" style="355" customWidth="1"/>
    <col min="11264" max="11266" width="15.7265625" style="355" customWidth="1"/>
    <col min="11267" max="11267" width="11.453125" style="355"/>
    <col min="11268" max="11268" width="12.81640625" style="355" customWidth="1"/>
    <col min="11269" max="11269" width="11.453125" style="355" customWidth="1"/>
    <col min="11270" max="11513" width="11.453125" style="355"/>
    <col min="11514" max="11514" width="35.7265625" style="355" customWidth="1"/>
    <col min="11515" max="11515" width="15.7265625" style="355" customWidth="1"/>
    <col min="11516" max="11518" width="0" style="355" hidden="1" customWidth="1"/>
    <col min="11519" max="11519" width="3.26953125" style="355" customWidth="1"/>
    <col min="11520" max="11522" width="15.7265625" style="355" customWidth="1"/>
    <col min="11523" max="11523" width="11.453125" style="355"/>
    <col min="11524" max="11524" width="12.81640625" style="355" customWidth="1"/>
    <col min="11525" max="11525" width="11.453125" style="355" customWidth="1"/>
    <col min="11526" max="11769" width="11.453125" style="355"/>
    <col min="11770" max="11770" width="35.7265625" style="355" customWidth="1"/>
    <col min="11771" max="11771" width="15.7265625" style="355" customWidth="1"/>
    <col min="11772" max="11774" width="0" style="355" hidden="1" customWidth="1"/>
    <col min="11775" max="11775" width="3.26953125" style="355" customWidth="1"/>
    <col min="11776" max="11778" width="15.7265625" style="355" customWidth="1"/>
    <col min="11779" max="11779" width="11.453125" style="355"/>
    <col min="11780" max="11780" width="12.81640625" style="355" customWidth="1"/>
    <col min="11781" max="11781" width="11.453125" style="355" customWidth="1"/>
    <col min="11782" max="12025" width="11.453125" style="355"/>
    <col min="12026" max="12026" width="35.7265625" style="355" customWidth="1"/>
    <col min="12027" max="12027" width="15.7265625" style="355" customWidth="1"/>
    <col min="12028" max="12030" width="0" style="355" hidden="1" customWidth="1"/>
    <col min="12031" max="12031" width="3.26953125" style="355" customWidth="1"/>
    <col min="12032" max="12034" width="15.7265625" style="355" customWidth="1"/>
    <col min="12035" max="12035" width="11.453125" style="355"/>
    <col min="12036" max="12036" width="12.81640625" style="355" customWidth="1"/>
    <col min="12037" max="12037" width="11.453125" style="355" customWidth="1"/>
    <col min="12038" max="12281" width="11.453125" style="355"/>
    <col min="12282" max="12282" width="35.7265625" style="355" customWidth="1"/>
    <col min="12283" max="12283" width="15.7265625" style="355" customWidth="1"/>
    <col min="12284" max="12286" width="0" style="355" hidden="1" customWidth="1"/>
    <col min="12287" max="12287" width="3.26953125" style="355" customWidth="1"/>
    <col min="12288" max="12290" width="15.7265625" style="355" customWidth="1"/>
    <col min="12291" max="12291" width="11.453125" style="355"/>
    <col min="12292" max="12292" width="12.81640625" style="355" customWidth="1"/>
    <col min="12293" max="12293" width="11.453125" style="355" customWidth="1"/>
    <col min="12294" max="12537" width="11.453125" style="355"/>
    <col min="12538" max="12538" width="35.7265625" style="355" customWidth="1"/>
    <col min="12539" max="12539" width="15.7265625" style="355" customWidth="1"/>
    <col min="12540" max="12542" width="0" style="355" hidden="1" customWidth="1"/>
    <col min="12543" max="12543" width="3.26953125" style="355" customWidth="1"/>
    <col min="12544" max="12546" width="15.7265625" style="355" customWidth="1"/>
    <col min="12547" max="12547" width="11.453125" style="355"/>
    <col min="12548" max="12548" width="12.81640625" style="355" customWidth="1"/>
    <col min="12549" max="12549" width="11.453125" style="355" customWidth="1"/>
    <col min="12550" max="12793" width="11.453125" style="355"/>
    <col min="12794" max="12794" width="35.7265625" style="355" customWidth="1"/>
    <col min="12795" max="12795" width="15.7265625" style="355" customWidth="1"/>
    <col min="12796" max="12798" width="0" style="355" hidden="1" customWidth="1"/>
    <col min="12799" max="12799" width="3.26953125" style="355" customWidth="1"/>
    <col min="12800" max="12802" width="15.7265625" style="355" customWidth="1"/>
    <col min="12803" max="12803" width="11.453125" style="355"/>
    <col min="12804" max="12804" width="12.81640625" style="355" customWidth="1"/>
    <col min="12805" max="12805" width="11.453125" style="355" customWidth="1"/>
    <col min="12806" max="13049" width="11.453125" style="355"/>
    <col min="13050" max="13050" width="35.7265625" style="355" customWidth="1"/>
    <col min="13051" max="13051" width="15.7265625" style="355" customWidth="1"/>
    <col min="13052" max="13054" width="0" style="355" hidden="1" customWidth="1"/>
    <col min="13055" max="13055" width="3.26953125" style="355" customWidth="1"/>
    <col min="13056" max="13058" width="15.7265625" style="355" customWidth="1"/>
    <col min="13059" max="13059" width="11.453125" style="355"/>
    <col min="13060" max="13060" width="12.81640625" style="355" customWidth="1"/>
    <col min="13061" max="13061" width="11.453125" style="355" customWidth="1"/>
    <col min="13062" max="13305" width="11.453125" style="355"/>
    <col min="13306" max="13306" width="35.7265625" style="355" customWidth="1"/>
    <col min="13307" max="13307" width="15.7265625" style="355" customWidth="1"/>
    <col min="13308" max="13310" width="0" style="355" hidden="1" customWidth="1"/>
    <col min="13311" max="13311" width="3.26953125" style="355" customWidth="1"/>
    <col min="13312" max="13314" width="15.7265625" style="355" customWidth="1"/>
    <col min="13315" max="13315" width="11.453125" style="355"/>
    <col min="13316" max="13316" width="12.81640625" style="355" customWidth="1"/>
    <col min="13317" max="13317" width="11.453125" style="355" customWidth="1"/>
    <col min="13318" max="13561" width="11.453125" style="355"/>
    <col min="13562" max="13562" width="35.7265625" style="355" customWidth="1"/>
    <col min="13563" max="13563" width="15.7265625" style="355" customWidth="1"/>
    <col min="13564" max="13566" width="0" style="355" hidden="1" customWidth="1"/>
    <col min="13567" max="13567" width="3.26953125" style="355" customWidth="1"/>
    <col min="13568" max="13570" width="15.7265625" style="355" customWidth="1"/>
    <col min="13571" max="13571" width="11.453125" style="355"/>
    <col min="13572" max="13572" width="12.81640625" style="355" customWidth="1"/>
    <col min="13573" max="13573" width="11.453125" style="355" customWidth="1"/>
    <col min="13574" max="13817" width="11.453125" style="355"/>
    <col min="13818" max="13818" width="35.7265625" style="355" customWidth="1"/>
    <col min="13819" max="13819" width="15.7265625" style="355" customWidth="1"/>
    <col min="13820" max="13822" width="0" style="355" hidden="1" customWidth="1"/>
    <col min="13823" max="13823" width="3.26953125" style="355" customWidth="1"/>
    <col min="13824" max="13826" width="15.7265625" style="355" customWidth="1"/>
    <col min="13827" max="13827" width="11.453125" style="355"/>
    <col min="13828" max="13828" width="12.81640625" style="355" customWidth="1"/>
    <col min="13829" max="13829" width="11.453125" style="355" customWidth="1"/>
    <col min="13830" max="14073" width="11.453125" style="355"/>
    <col min="14074" max="14074" width="35.7265625" style="355" customWidth="1"/>
    <col min="14075" max="14075" width="15.7265625" style="355" customWidth="1"/>
    <col min="14076" max="14078" width="0" style="355" hidden="1" customWidth="1"/>
    <col min="14079" max="14079" width="3.26953125" style="355" customWidth="1"/>
    <col min="14080" max="14082" width="15.7265625" style="355" customWidth="1"/>
    <col min="14083" max="14083" width="11.453125" style="355"/>
    <col min="14084" max="14084" width="12.81640625" style="355" customWidth="1"/>
    <col min="14085" max="14085" width="11.453125" style="355" customWidth="1"/>
    <col min="14086" max="14329" width="11.453125" style="355"/>
    <col min="14330" max="14330" width="35.7265625" style="355" customWidth="1"/>
    <col min="14331" max="14331" width="15.7265625" style="355" customWidth="1"/>
    <col min="14332" max="14334" width="0" style="355" hidden="1" customWidth="1"/>
    <col min="14335" max="14335" width="3.26953125" style="355" customWidth="1"/>
    <col min="14336" max="14338" width="15.7265625" style="355" customWidth="1"/>
    <col min="14339" max="14339" width="11.453125" style="355"/>
    <col min="14340" max="14340" width="12.81640625" style="355" customWidth="1"/>
    <col min="14341" max="14341" width="11.453125" style="355" customWidth="1"/>
    <col min="14342" max="14585" width="11.453125" style="355"/>
    <col min="14586" max="14586" width="35.7265625" style="355" customWidth="1"/>
    <col min="14587" max="14587" width="15.7265625" style="355" customWidth="1"/>
    <col min="14588" max="14590" width="0" style="355" hidden="1" customWidth="1"/>
    <col min="14591" max="14591" width="3.26953125" style="355" customWidth="1"/>
    <col min="14592" max="14594" width="15.7265625" style="355" customWidth="1"/>
    <col min="14595" max="14595" width="11.453125" style="355"/>
    <col min="14596" max="14596" width="12.81640625" style="355" customWidth="1"/>
    <col min="14597" max="14597" width="11.453125" style="355" customWidth="1"/>
    <col min="14598" max="14841" width="11.453125" style="355"/>
    <col min="14842" max="14842" width="35.7265625" style="355" customWidth="1"/>
    <col min="14843" max="14843" width="15.7265625" style="355" customWidth="1"/>
    <col min="14844" max="14846" width="0" style="355" hidden="1" customWidth="1"/>
    <col min="14847" max="14847" width="3.26953125" style="355" customWidth="1"/>
    <col min="14848" max="14850" width="15.7265625" style="355" customWidth="1"/>
    <col min="14851" max="14851" width="11.453125" style="355"/>
    <col min="14852" max="14852" width="12.81640625" style="355" customWidth="1"/>
    <col min="14853" max="14853" width="11.453125" style="355" customWidth="1"/>
    <col min="14854" max="15097" width="11.453125" style="355"/>
    <col min="15098" max="15098" width="35.7265625" style="355" customWidth="1"/>
    <col min="15099" max="15099" width="15.7265625" style="355" customWidth="1"/>
    <col min="15100" max="15102" width="0" style="355" hidden="1" customWidth="1"/>
    <col min="15103" max="15103" width="3.26953125" style="355" customWidth="1"/>
    <col min="15104" max="15106" width="15.7265625" style="355" customWidth="1"/>
    <col min="15107" max="15107" width="11.453125" style="355"/>
    <col min="15108" max="15108" width="12.81640625" style="355" customWidth="1"/>
    <col min="15109" max="15109" width="11.453125" style="355" customWidth="1"/>
    <col min="15110" max="15353" width="11.453125" style="355"/>
    <col min="15354" max="15354" width="35.7265625" style="355" customWidth="1"/>
    <col min="15355" max="15355" width="15.7265625" style="355" customWidth="1"/>
    <col min="15356" max="15358" width="0" style="355" hidden="1" customWidth="1"/>
    <col min="15359" max="15359" width="3.26953125" style="355" customWidth="1"/>
    <col min="15360" max="15362" width="15.7265625" style="355" customWidth="1"/>
    <col min="15363" max="15363" width="11.453125" style="355"/>
    <col min="15364" max="15364" width="12.81640625" style="355" customWidth="1"/>
    <col min="15365" max="15365" width="11.453125" style="355" customWidth="1"/>
    <col min="15366" max="15609" width="11.453125" style="355"/>
    <col min="15610" max="15610" width="35.7265625" style="355" customWidth="1"/>
    <col min="15611" max="15611" width="15.7265625" style="355" customWidth="1"/>
    <col min="15612" max="15614" width="0" style="355" hidden="1" customWidth="1"/>
    <col min="15615" max="15615" width="3.26953125" style="355" customWidth="1"/>
    <col min="15616" max="15618" width="15.7265625" style="355" customWidth="1"/>
    <col min="15619" max="15619" width="11.453125" style="355"/>
    <col min="15620" max="15620" width="12.81640625" style="355" customWidth="1"/>
    <col min="15621" max="15621" width="11.453125" style="355" customWidth="1"/>
    <col min="15622" max="15865" width="11.453125" style="355"/>
    <col min="15866" max="15866" width="35.7265625" style="355" customWidth="1"/>
    <col min="15867" max="15867" width="15.7265625" style="355" customWidth="1"/>
    <col min="15868" max="15870" width="0" style="355" hidden="1" customWidth="1"/>
    <col min="15871" max="15871" width="3.26953125" style="355" customWidth="1"/>
    <col min="15872" max="15874" width="15.7265625" style="355" customWidth="1"/>
    <col min="15875" max="15875" width="11.453125" style="355"/>
    <col min="15876" max="15876" width="12.81640625" style="355" customWidth="1"/>
    <col min="15877" max="15877" width="11.453125" style="355" customWidth="1"/>
    <col min="15878" max="16121" width="11.453125" style="355"/>
    <col min="16122" max="16122" width="35.7265625" style="355" customWidth="1"/>
    <col min="16123" max="16123" width="15.7265625" style="355" customWidth="1"/>
    <col min="16124" max="16126" width="0" style="355" hidden="1" customWidth="1"/>
    <col min="16127" max="16127" width="3.26953125" style="355" customWidth="1"/>
    <col min="16128" max="16130" width="15.7265625" style="355" customWidth="1"/>
    <col min="16131" max="16131" width="11.453125" style="355"/>
    <col min="16132" max="16132" width="12.81640625" style="355" customWidth="1"/>
    <col min="16133" max="16133" width="11.453125" style="355" customWidth="1"/>
    <col min="16134" max="16384" width="11.453125" style="355"/>
  </cols>
  <sheetData>
    <row r="1" spans="1:9" ht="26" x14ac:dyDescent="0.6">
      <c r="A1" s="617" t="s">
        <v>323</v>
      </c>
      <c r="B1" s="646"/>
      <c r="C1" s="646"/>
      <c r="D1" s="646"/>
      <c r="E1" s="646"/>
      <c r="F1" s="647"/>
    </row>
    <row r="2" spans="1:9" ht="26" x14ac:dyDescent="0.6">
      <c r="A2" s="648" t="s">
        <v>236</v>
      </c>
      <c r="B2" s="649"/>
      <c r="C2" s="649"/>
      <c r="D2" s="649"/>
      <c r="E2" s="650"/>
      <c r="F2" s="925" t="str">
        <f>+Stammdaten!D2</f>
        <v>Version 1.8</v>
      </c>
    </row>
    <row r="3" spans="1:9" ht="15" thickBot="1" x14ac:dyDescent="0.4">
      <c r="A3" s="1003">
        <f>+Stammdaten!B5</f>
        <v>0</v>
      </c>
      <c r="B3" s="612">
        <f>+Stammdaten!B3</f>
        <v>0</v>
      </c>
      <c r="C3" s="639"/>
      <c r="D3" s="1007"/>
      <c r="E3" s="1004" t="s">
        <v>40</v>
      </c>
      <c r="F3" s="1005"/>
    </row>
    <row r="4" spans="1:9" ht="121.5" customHeight="1" thickBot="1" x14ac:dyDescent="0.4">
      <c r="A4" s="1061" t="s">
        <v>330</v>
      </c>
      <c r="B4" s="1039"/>
      <c r="C4" s="1039"/>
      <c r="D4" s="1039"/>
      <c r="E4" s="1039"/>
      <c r="F4" s="1110"/>
      <c r="G4" s="1006"/>
    </row>
    <row r="5" spans="1:9" ht="13.5" customHeight="1" thickBot="1" x14ac:dyDescent="0.55000000000000004">
      <c r="A5" s="357"/>
      <c r="B5" s="356"/>
      <c r="C5" s="356"/>
      <c r="D5" s="356"/>
      <c r="E5" s="356"/>
      <c r="F5" s="1002"/>
    </row>
    <row r="6" spans="1:9" ht="15" customHeight="1" x14ac:dyDescent="0.35">
      <c r="A6" s="1090" t="s">
        <v>346</v>
      </c>
      <c r="B6" s="1071"/>
      <c r="C6" s="1072"/>
      <c r="D6" s="1098" t="s">
        <v>364</v>
      </c>
      <c r="E6" s="1099"/>
      <c r="F6" s="1100"/>
      <c r="G6" s="389" t="str">
        <f>+IF(AND(C6="",C8=""),"Bitte wählen Sie ENTWEDER Neuverhandlung ODER Indexierung","")</f>
        <v>Bitte wählen Sie ENTWEDER Neuverhandlung ODER Indexierung</v>
      </c>
      <c r="I6" s="114"/>
    </row>
    <row r="7" spans="1:9" ht="39.75" customHeight="1" thickBot="1" x14ac:dyDescent="0.4">
      <c r="A7" s="513"/>
      <c r="B7" s="508" t="s">
        <v>344</v>
      </c>
      <c r="C7" s="1094"/>
      <c r="D7" s="1101"/>
      <c r="E7" s="1102"/>
      <c r="F7" s="1103"/>
      <c r="G7" s="540"/>
      <c r="I7" s="114"/>
    </row>
    <row r="8" spans="1:9" x14ac:dyDescent="0.35">
      <c r="A8" s="1090" t="s">
        <v>343</v>
      </c>
      <c r="B8" s="1071"/>
      <c r="C8" s="1072"/>
      <c r="D8" s="1098" t="s">
        <v>372</v>
      </c>
      <c r="E8" s="1099"/>
      <c r="F8" s="1100"/>
      <c r="G8" s="389" t="str">
        <f>+IF(AND(C6="x",C8="x"),"Bitte wählen Sie ENTWEDER Neuverhandlung ODER Indexierung!","")</f>
        <v/>
      </c>
      <c r="I8" s="114"/>
    </row>
    <row r="9" spans="1:9" ht="51" customHeight="1" thickBot="1" x14ac:dyDescent="0.4">
      <c r="A9" s="513"/>
      <c r="B9" s="508" t="s">
        <v>345</v>
      </c>
      <c r="C9" s="1094"/>
      <c r="D9" s="1101"/>
      <c r="E9" s="1102"/>
      <c r="F9" s="1103"/>
      <c r="G9" s="540"/>
      <c r="I9" s="114"/>
    </row>
    <row r="10" spans="1:9" ht="15" customHeight="1" x14ac:dyDescent="0.5">
      <c r="A10" s="929"/>
      <c r="B10" s="643"/>
      <c r="C10" s="643"/>
      <c r="D10" s="643"/>
      <c r="E10" s="643"/>
      <c r="F10" s="746"/>
      <c r="I10" s="114"/>
    </row>
    <row r="11" spans="1:9" ht="15" customHeight="1" x14ac:dyDescent="0.35">
      <c r="A11" s="578" t="s">
        <v>356</v>
      </c>
      <c r="B11" s="934"/>
      <c r="C11" s="934"/>
      <c r="D11" s="934"/>
      <c r="E11" s="934"/>
      <c r="F11" s="935"/>
      <c r="G11" s="389"/>
      <c r="I11" s="114"/>
    </row>
    <row r="12" spans="1:9" s="928" customFormat="1" ht="15" customHeight="1" x14ac:dyDescent="0.35">
      <c r="A12" s="586" t="s">
        <v>359</v>
      </c>
      <c r="B12" s="661"/>
      <c r="C12" s="659"/>
      <c r="D12" s="933"/>
      <c r="E12" s="933"/>
      <c r="F12" s="936"/>
      <c r="G12" s="389"/>
      <c r="I12" s="114"/>
    </row>
    <row r="13" spans="1:9" s="928" customFormat="1" ht="15" customHeight="1" x14ac:dyDescent="0.35">
      <c r="A13" s="13"/>
      <c r="B13" s="943" t="s">
        <v>362</v>
      </c>
      <c r="C13" s="944"/>
      <c r="D13" s="942" t="str">
        <f>+IF(AND(C8="x",C13=""),"Achtung, Feld C13 muss befüllt werden!","")</f>
        <v/>
      </c>
      <c r="E13" s="933"/>
      <c r="F13" s="936"/>
      <c r="G13" s="389"/>
      <c r="I13" s="114"/>
    </row>
    <row r="14" spans="1:9" s="928" customFormat="1" ht="15" customHeight="1" x14ac:dyDescent="0.35">
      <c r="A14" s="945"/>
      <c r="B14" s="943" t="s">
        <v>363</v>
      </c>
      <c r="C14" s="944"/>
      <c r="D14" s="942" t="str">
        <f>+IF(AND(C8="x",C14=""),"Achtung, Feld C14 muss befüllt werden!",IF(C14-C13&gt;5,"ACHTUNG: Indexierung ist nur für einen Zeitraum von max. 5 Jahren möglich!",""))</f>
        <v/>
      </c>
      <c r="E14" s="659"/>
      <c r="F14" s="941"/>
      <c r="G14" s="389"/>
      <c r="I14" s="114"/>
    </row>
    <row r="15" spans="1:9" s="928" customFormat="1" ht="15" customHeight="1" x14ac:dyDescent="0.35">
      <c r="A15" s="940"/>
      <c r="B15" s="946" t="s">
        <v>350</v>
      </c>
      <c r="C15" s="947">
        <f>IF(C14&gt;C13,VLOOKUP(E15,'Anlage Inflationsraten'!I6:J35,2)-1,0)</f>
        <v>0</v>
      </c>
      <c r="D15" s="938" t="s">
        <v>355</v>
      </c>
      <c r="E15" s="932" t="str">
        <f>+C13&amp;C14</f>
        <v/>
      </c>
      <c r="F15" s="936"/>
      <c r="G15" s="389"/>
      <c r="I15" s="114"/>
    </row>
    <row r="16" spans="1:9" s="928" customFormat="1" ht="15" customHeight="1" x14ac:dyDescent="0.35">
      <c r="A16" s="427"/>
      <c r="B16" s="933"/>
      <c r="C16" s="969" t="str">
        <f>+IF(AND(C13&gt;=C14,C8="x"),"Achtung, falsche Jahreszahlen!","")</f>
        <v/>
      </c>
      <c r="D16" s="1104" t="s">
        <v>360</v>
      </c>
      <c r="E16" s="1105"/>
      <c r="F16" s="1106"/>
      <c r="G16" s="389"/>
      <c r="I16" s="114"/>
    </row>
    <row r="17" spans="1:10" s="928" customFormat="1" ht="15" customHeight="1" x14ac:dyDescent="0.35">
      <c r="A17" s="937"/>
      <c r="B17" s="939"/>
      <c r="C17" s="939"/>
      <c r="D17" s="1107"/>
      <c r="E17" s="1108"/>
      <c r="F17" s="1109"/>
      <c r="G17" s="389"/>
      <c r="I17" s="114"/>
    </row>
    <row r="18" spans="1:10" ht="12.75" customHeight="1" thickBot="1" x14ac:dyDescent="0.55000000000000004">
      <c r="A18" s="357"/>
      <c r="B18" s="356"/>
      <c r="C18" s="356"/>
      <c r="D18" s="356"/>
      <c r="E18" s="356"/>
      <c r="F18" s="971"/>
    </row>
    <row r="19" spans="1:10" ht="15" thickBot="1" x14ac:dyDescent="0.4">
      <c r="A19" s="985"/>
      <c r="B19" s="985"/>
      <c r="C19" s="977" t="str">
        <f>+IF(C6="x","Neuverhandlung",IF(C8="x","Indexierung",""))</f>
        <v/>
      </c>
      <c r="D19" s="984"/>
      <c r="E19" s="985"/>
      <c r="F19" s="953"/>
    </row>
    <row r="20" spans="1:10" ht="39.75" customHeight="1" x14ac:dyDescent="0.5">
      <c r="A20" s="1111" t="s">
        <v>274</v>
      </c>
      <c r="B20" s="1112"/>
      <c r="C20" s="966" t="str">
        <f>+IF(C6="x","umlegbare Nebenkosten",IF(C8="x","Werte letzte Verhandlung",""))</f>
        <v/>
      </c>
      <c r="D20" s="966" t="s">
        <v>358</v>
      </c>
      <c r="E20" s="987" t="s">
        <v>21</v>
      </c>
      <c r="F20" s="982" t="s">
        <v>20</v>
      </c>
      <c r="G20" s="60"/>
    </row>
    <row r="21" spans="1:10" ht="15.75" customHeight="1" x14ac:dyDescent="0.35">
      <c r="A21" s="651" t="s">
        <v>230</v>
      </c>
      <c r="B21" s="652"/>
      <c r="C21" s="967" t="str">
        <f>IF(C8="x",C13,"")</f>
        <v/>
      </c>
      <c r="D21" s="968" t="str">
        <f>IF(C8="x",C14,"")</f>
        <v/>
      </c>
      <c r="E21" s="654"/>
      <c r="F21" s="653"/>
      <c r="G21" s="60"/>
    </row>
    <row r="22" spans="1:10" ht="15" thickBot="1" x14ac:dyDescent="0.4">
      <c r="A22" s="655" t="s">
        <v>161</v>
      </c>
      <c r="B22" s="656"/>
      <c r="C22" s="931" t="s">
        <v>357</v>
      </c>
      <c r="D22" s="931" t="s">
        <v>357</v>
      </c>
      <c r="E22" s="384">
        <v>0</v>
      </c>
      <c r="F22" s="377">
        <v>1</v>
      </c>
      <c r="G22" s="60"/>
      <c r="H22" s="76"/>
    </row>
    <row r="23" spans="1:10" x14ac:dyDescent="0.35">
      <c r="A23" s="972" t="s">
        <v>271</v>
      </c>
      <c r="B23" s="973"/>
      <c r="C23" s="974"/>
      <c r="D23" s="974"/>
      <c r="E23" s="975"/>
      <c r="F23" s="976"/>
      <c r="G23" s="60"/>
      <c r="H23" s="76"/>
    </row>
    <row r="24" spans="1:10" x14ac:dyDescent="0.35">
      <c r="A24" s="362" t="s">
        <v>44</v>
      </c>
      <c r="B24" s="363"/>
      <c r="C24" s="364"/>
      <c r="D24" s="978">
        <f>+IF($C$6="x",C24,IF($C$8="x",C24*(1+$C$15),0))</f>
        <v>0</v>
      </c>
      <c r="E24" s="385">
        <f>+D24*$E$22</f>
        <v>0</v>
      </c>
      <c r="F24" s="372">
        <f>+D24*$F$22</f>
        <v>0</v>
      </c>
      <c r="G24" s="60"/>
      <c r="H24" s="76"/>
      <c r="J24" s="382"/>
    </row>
    <row r="25" spans="1:10" x14ac:dyDescent="0.35">
      <c r="A25" s="362" t="s">
        <v>45</v>
      </c>
      <c r="B25" s="363"/>
      <c r="C25" s="364"/>
      <c r="D25" s="978">
        <f t="shared" ref="D25:D42" si="0">+IF($C$6="x",C25,IF($C$8="x",C25*(1+$C$15),0))</f>
        <v>0</v>
      </c>
      <c r="E25" s="385">
        <f t="shared" ref="E25:E42" si="1">+D25*$E$22</f>
        <v>0</v>
      </c>
      <c r="F25" s="372">
        <f t="shared" ref="F25:F42" si="2">+D25*$F$22</f>
        <v>0</v>
      </c>
      <c r="G25" s="60"/>
      <c r="H25" s="76"/>
    </row>
    <row r="26" spans="1:10" x14ac:dyDescent="0.35">
      <c r="A26" s="362" t="s">
        <v>46</v>
      </c>
      <c r="B26" s="363"/>
      <c r="C26" s="364"/>
      <c r="D26" s="978">
        <f t="shared" si="0"/>
        <v>0</v>
      </c>
      <c r="E26" s="385">
        <f t="shared" si="1"/>
        <v>0</v>
      </c>
      <c r="F26" s="372">
        <f t="shared" si="2"/>
        <v>0</v>
      </c>
      <c r="G26" s="60"/>
    </row>
    <row r="27" spans="1:10" x14ac:dyDescent="0.35">
      <c r="A27" s="362" t="s">
        <v>47</v>
      </c>
      <c r="B27" s="363"/>
      <c r="C27" s="364"/>
      <c r="D27" s="978">
        <f t="shared" si="0"/>
        <v>0</v>
      </c>
      <c r="E27" s="385">
        <f t="shared" si="1"/>
        <v>0</v>
      </c>
      <c r="F27" s="372">
        <f t="shared" si="2"/>
        <v>0</v>
      </c>
      <c r="G27" s="60"/>
    </row>
    <row r="28" spans="1:10" x14ac:dyDescent="0.35">
      <c r="A28" s="362" t="s">
        <v>48</v>
      </c>
      <c r="B28" s="363"/>
      <c r="C28" s="364"/>
      <c r="D28" s="978">
        <f t="shared" si="0"/>
        <v>0</v>
      </c>
      <c r="E28" s="385">
        <f t="shared" si="1"/>
        <v>0</v>
      </c>
      <c r="F28" s="372">
        <f t="shared" si="2"/>
        <v>0</v>
      </c>
      <c r="G28" s="60"/>
      <c r="J28" s="382"/>
    </row>
    <row r="29" spans="1:10" x14ac:dyDescent="0.35">
      <c r="A29" s="362" t="s">
        <v>29</v>
      </c>
      <c r="B29" s="363"/>
      <c r="C29" s="364"/>
      <c r="D29" s="978">
        <f t="shared" si="0"/>
        <v>0</v>
      </c>
      <c r="E29" s="385">
        <f t="shared" si="1"/>
        <v>0</v>
      </c>
      <c r="F29" s="372">
        <f t="shared" si="2"/>
        <v>0</v>
      </c>
      <c r="G29" s="60"/>
    </row>
    <row r="30" spans="1:10" x14ac:dyDescent="0.35">
      <c r="A30" s="362" t="s">
        <v>30</v>
      </c>
      <c r="B30" s="363"/>
      <c r="C30" s="364"/>
      <c r="D30" s="978">
        <f t="shared" si="0"/>
        <v>0</v>
      </c>
      <c r="E30" s="385">
        <f t="shared" si="1"/>
        <v>0</v>
      </c>
      <c r="F30" s="372">
        <f t="shared" si="2"/>
        <v>0</v>
      </c>
      <c r="G30" s="60"/>
    </row>
    <row r="31" spans="1:10" x14ac:dyDescent="0.35">
      <c r="A31" s="362" t="s">
        <v>31</v>
      </c>
      <c r="B31" s="363"/>
      <c r="C31" s="364"/>
      <c r="D31" s="978">
        <f t="shared" si="0"/>
        <v>0</v>
      </c>
      <c r="E31" s="385">
        <f t="shared" si="1"/>
        <v>0</v>
      </c>
      <c r="F31" s="372">
        <f t="shared" si="2"/>
        <v>0</v>
      </c>
      <c r="G31" s="60"/>
    </row>
    <row r="32" spans="1:10" x14ac:dyDescent="0.35">
      <c r="A32" s="362" t="s">
        <v>32</v>
      </c>
      <c r="B32" s="363"/>
      <c r="C32" s="364"/>
      <c r="D32" s="978">
        <f t="shared" si="0"/>
        <v>0</v>
      </c>
      <c r="E32" s="385">
        <f t="shared" si="1"/>
        <v>0</v>
      </c>
      <c r="F32" s="372">
        <f>+D32*$F$22</f>
        <v>0</v>
      </c>
      <c r="G32" s="60"/>
    </row>
    <row r="33" spans="1:9" x14ac:dyDescent="0.35">
      <c r="A33" s="362" t="s">
        <v>33</v>
      </c>
      <c r="B33" s="363"/>
      <c r="C33" s="364"/>
      <c r="D33" s="978">
        <f t="shared" si="0"/>
        <v>0</v>
      </c>
      <c r="E33" s="385">
        <f t="shared" si="1"/>
        <v>0</v>
      </c>
      <c r="F33" s="372">
        <f t="shared" si="2"/>
        <v>0</v>
      </c>
      <c r="G33" s="60"/>
    </row>
    <row r="34" spans="1:9" x14ac:dyDescent="0.35">
      <c r="A34" s="362" t="s">
        <v>34</v>
      </c>
      <c r="B34" s="363"/>
      <c r="C34" s="364"/>
      <c r="D34" s="978">
        <f t="shared" si="0"/>
        <v>0</v>
      </c>
      <c r="E34" s="385">
        <f t="shared" si="1"/>
        <v>0</v>
      </c>
      <c r="F34" s="372">
        <f t="shared" si="2"/>
        <v>0</v>
      </c>
      <c r="G34" s="60"/>
    </row>
    <row r="35" spans="1:9" x14ac:dyDescent="0.35">
      <c r="A35" s="362" t="s">
        <v>35</v>
      </c>
      <c r="B35" s="363"/>
      <c r="C35" s="364"/>
      <c r="D35" s="978">
        <f t="shared" si="0"/>
        <v>0</v>
      </c>
      <c r="E35" s="385">
        <f t="shared" si="1"/>
        <v>0</v>
      </c>
      <c r="F35" s="372">
        <f t="shared" si="2"/>
        <v>0</v>
      </c>
      <c r="G35" s="60"/>
    </row>
    <row r="36" spans="1:9" x14ac:dyDescent="0.35">
      <c r="A36" s="362" t="s">
        <v>36</v>
      </c>
      <c r="B36" s="363"/>
      <c r="C36" s="364"/>
      <c r="D36" s="978">
        <f t="shared" si="0"/>
        <v>0</v>
      </c>
      <c r="E36" s="385">
        <f t="shared" si="1"/>
        <v>0</v>
      </c>
      <c r="F36" s="372">
        <f t="shared" si="2"/>
        <v>0</v>
      </c>
      <c r="G36" s="60"/>
    </row>
    <row r="37" spans="1:9" x14ac:dyDescent="0.35">
      <c r="A37" s="362" t="s">
        <v>37</v>
      </c>
      <c r="B37" s="363"/>
      <c r="C37" s="364"/>
      <c r="D37" s="978">
        <f t="shared" si="0"/>
        <v>0</v>
      </c>
      <c r="E37" s="385">
        <f t="shared" si="1"/>
        <v>0</v>
      </c>
      <c r="F37" s="372">
        <f t="shared" si="2"/>
        <v>0</v>
      </c>
      <c r="G37" s="60"/>
    </row>
    <row r="38" spans="1:9" x14ac:dyDescent="0.35">
      <c r="A38" s="362" t="s">
        <v>38</v>
      </c>
      <c r="B38" s="363"/>
      <c r="C38" s="364"/>
      <c r="D38" s="978">
        <f t="shared" si="0"/>
        <v>0</v>
      </c>
      <c r="E38" s="385">
        <f t="shared" si="1"/>
        <v>0</v>
      </c>
      <c r="F38" s="372">
        <f t="shared" si="2"/>
        <v>0</v>
      </c>
      <c r="G38" s="60"/>
    </row>
    <row r="39" spans="1:9" ht="29" x14ac:dyDescent="0.35">
      <c r="A39" s="365" t="s">
        <v>50</v>
      </c>
      <c r="B39" s="363"/>
      <c r="C39" s="364"/>
      <c r="D39" s="978">
        <f t="shared" si="0"/>
        <v>0</v>
      </c>
      <c r="E39" s="385">
        <f t="shared" si="1"/>
        <v>0</v>
      </c>
      <c r="F39" s="372">
        <f t="shared" si="2"/>
        <v>0</v>
      </c>
      <c r="G39" s="60"/>
    </row>
    <row r="40" spans="1:9" x14ac:dyDescent="0.35">
      <c r="A40" s="366" t="s">
        <v>155</v>
      </c>
      <c r="B40" s="383"/>
      <c r="C40" s="364"/>
      <c r="D40" s="978">
        <f t="shared" si="0"/>
        <v>0</v>
      </c>
      <c r="E40" s="385">
        <f t="shared" si="1"/>
        <v>0</v>
      </c>
      <c r="F40" s="372">
        <f t="shared" si="2"/>
        <v>0</v>
      </c>
      <c r="G40" s="60"/>
    </row>
    <row r="41" spans="1:9" x14ac:dyDescent="0.35">
      <c r="A41" s="366" t="s">
        <v>49</v>
      </c>
      <c r="B41" s="363"/>
      <c r="C41" s="364"/>
      <c r="D41" s="978">
        <f t="shared" si="0"/>
        <v>0</v>
      </c>
      <c r="E41" s="385">
        <f t="shared" si="1"/>
        <v>0</v>
      </c>
      <c r="F41" s="372">
        <f t="shared" si="2"/>
        <v>0</v>
      </c>
      <c r="G41" s="60"/>
    </row>
    <row r="42" spans="1:9" x14ac:dyDescent="0.35">
      <c r="A42" s="366"/>
      <c r="B42" s="363"/>
      <c r="C42" s="364"/>
      <c r="D42" s="978">
        <f t="shared" si="0"/>
        <v>0</v>
      </c>
      <c r="E42" s="385">
        <f t="shared" si="1"/>
        <v>0</v>
      </c>
      <c r="F42" s="372">
        <f t="shared" si="2"/>
        <v>0</v>
      </c>
      <c r="G42" s="60"/>
    </row>
    <row r="43" spans="1:9" x14ac:dyDescent="0.35">
      <c r="A43" s="657" t="s">
        <v>10</v>
      </c>
      <c r="B43" s="658"/>
      <c r="C43" s="264">
        <f>+SUM(C23:C42)</f>
        <v>0</v>
      </c>
      <c r="D43" s="264">
        <f>+SUM(D23:D42)</f>
        <v>0</v>
      </c>
      <c r="E43" s="386">
        <f>+SUM(E23:E42)</f>
        <v>0</v>
      </c>
      <c r="F43" s="264">
        <f>+SUM(F23:F42)</f>
        <v>0</v>
      </c>
      <c r="G43" s="60"/>
      <c r="H43" s="380" t="s">
        <v>6</v>
      </c>
      <c r="I43" s="162">
        <f>+D43-E43-F43</f>
        <v>0</v>
      </c>
    </row>
    <row r="44" spans="1:9" ht="15" thickBot="1" x14ac:dyDescent="0.4">
      <c r="A44" s="655"/>
      <c r="B44" s="1017"/>
      <c r="C44" s="1018"/>
      <c r="D44" s="1018"/>
      <c r="E44" s="1019"/>
      <c r="F44" s="1020"/>
      <c r="G44" s="60"/>
      <c r="I44" s="114"/>
    </row>
    <row r="45" spans="1:9" x14ac:dyDescent="0.35">
      <c r="A45" s="1014" t="s">
        <v>275</v>
      </c>
      <c r="B45" s="1015"/>
      <c r="C45" s="1016">
        <f>+'B_2 Sonder-Infrastr.'!E72</f>
        <v>0</v>
      </c>
      <c r="D45" s="1016">
        <f>+'B_2 Sonder-Infrastr.'!E72</f>
        <v>0</v>
      </c>
      <c r="E45" s="660"/>
      <c r="F45" s="555"/>
      <c r="G45" s="60"/>
      <c r="I45" s="114"/>
    </row>
    <row r="46" spans="1:9" x14ac:dyDescent="0.35">
      <c r="A46" s="657" t="s">
        <v>222</v>
      </c>
      <c r="B46" s="658"/>
      <c r="C46" s="264">
        <f>+C43*C45</f>
        <v>0</v>
      </c>
      <c r="D46" s="264">
        <f>+D43*D45</f>
        <v>0</v>
      </c>
      <c r="E46" s="386">
        <f>+E43*C45</f>
        <v>0</v>
      </c>
      <c r="F46" s="264">
        <f>+F43*C45</f>
        <v>0</v>
      </c>
      <c r="G46" s="60"/>
      <c r="H46" s="380" t="s">
        <v>6</v>
      </c>
      <c r="I46" s="162">
        <f>+D46-E46-F46</f>
        <v>0</v>
      </c>
    </row>
    <row r="47" spans="1:9" x14ac:dyDescent="0.35">
      <c r="A47" s="662" t="s">
        <v>18</v>
      </c>
      <c r="B47" s="989"/>
      <c r="C47" s="388">
        <f>+'B_1 Geb. Kaltmiete'!B104</f>
        <v>0.96499999999999997</v>
      </c>
      <c r="D47" s="387">
        <f>+'B_1 Geb. Kaltmiete'!B104</f>
        <v>0.96499999999999997</v>
      </c>
      <c r="E47" s="385"/>
      <c r="F47" s="372"/>
      <c r="G47" s="60"/>
      <c r="I47" s="205"/>
    </row>
    <row r="48" spans="1:9" x14ac:dyDescent="0.35">
      <c r="A48" s="1010"/>
      <c r="B48" s="1011" t="s">
        <v>225</v>
      </c>
      <c r="C48" s="264" t="e">
        <f>+C46/Stammdaten!B7/C47</f>
        <v>#DIV/0!</v>
      </c>
      <c r="D48" s="264" t="e">
        <f>+D46/Stammdaten!B7/D47</f>
        <v>#DIV/0!</v>
      </c>
      <c r="E48" s="386" t="e">
        <f>+E46/Stammdaten!B7/C47</f>
        <v>#DIV/0!</v>
      </c>
      <c r="F48" s="264" t="e">
        <f>+F46/Stammdaten!B7/C47</f>
        <v>#DIV/0!</v>
      </c>
      <c r="G48" s="60"/>
      <c r="H48" s="380" t="s">
        <v>6</v>
      </c>
      <c r="I48" s="162" t="e">
        <f>+D48-E48-F48</f>
        <v>#DIV/0!</v>
      </c>
    </row>
    <row r="49" spans="1:9" ht="19" thickBot="1" x14ac:dyDescent="0.5">
      <c r="A49" s="1012"/>
      <c r="B49" s="1008" t="s">
        <v>226</v>
      </c>
      <c r="C49" s="1009" t="e">
        <f>+C48/12</f>
        <v>#DIV/0!</v>
      </c>
      <c r="D49" s="1009" t="e">
        <f>+D48/12</f>
        <v>#DIV/0!</v>
      </c>
      <c r="E49" s="1013" t="e">
        <f>E48/12</f>
        <v>#DIV/0!</v>
      </c>
      <c r="F49" s="1009" t="e">
        <f>F48/12</f>
        <v>#DIV/0!</v>
      </c>
      <c r="G49" s="60"/>
      <c r="H49" s="380" t="s">
        <v>6</v>
      </c>
      <c r="I49" s="162" t="e">
        <f>+D49-E49-F49</f>
        <v>#DIV/0!</v>
      </c>
    </row>
    <row r="50" spans="1:9" x14ac:dyDescent="0.35">
      <c r="F50" s="355"/>
      <c r="G50" s="60"/>
      <c r="H50" s="380" t="s">
        <v>6</v>
      </c>
      <c r="I50" s="162" t="e">
        <f>+D46-(D49*Stammdaten!B7*12*D47)</f>
        <v>#DIV/0!</v>
      </c>
    </row>
    <row r="52" spans="1:9" x14ac:dyDescent="0.35">
      <c r="D52" s="988"/>
    </row>
    <row r="53" spans="1:9" x14ac:dyDescent="0.35">
      <c r="D53" s="988"/>
    </row>
  </sheetData>
  <sheetProtection algorithmName="SHA-512" hashValue="r93cal5J3PIzgfpbMmHxWpat249OUx/8F5a/XZBV4mg/nbnXfChEFPiYIDzkSQMMezJyjJQIgODSuuEIfha+Lw==" saltValue="eoQyYR5q6uQwdcFjTUMWfg==" spinCount="100000" sheet="1" objects="1" scenarios="1"/>
  <mergeCells count="9">
    <mergeCell ref="A4:F4"/>
    <mergeCell ref="A20:B20"/>
    <mergeCell ref="A6:B6"/>
    <mergeCell ref="C6:C7"/>
    <mergeCell ref="D6:F7"/>
    <mergeCell ref="A8:B8"/>
    <mergeCell ref="C8:C9"/>
    <mergeCell ref="D8:F9"/>
    <mergeCell ref="D16:F17"/>
  </mergeCells>
  <conditionalFormatting sqref="I43">
    <cfRule type="expression" dxfId="50" priority="9">
      <formula>OR(I43&lt;-0.0009,I43&gt;0.0009)</formula>
    </cfRule>
  </conditionalFormatting>
  <conditionalFormatting sqref="I46">
    <cfRule type="expression" dxfId="49" priority="8">
      <formula>OR(I46&lt;-0.0009,I46&gt;0.0009)</formula>
    </cfRule>
  </conditionalFormatting>
  <conditionalFormatting sqref="I48:I49">
    <cfRule type="expression" dxfId="48" priority="7">
      <formula>OR(I48&lt;-0.0009,I48&gt;0.0009)</formula>
    </cfRule>
  </conditionalFormatting>
  <conditionalFormatting sqref="I50">
    <cfRule type="expression" dxfId="47" priority="6">
      <formula>OR(I50&lt;-0.0009,I50&gt;0.0009)</formula>
    </cfRule>
  </conditionalFormatting>
  <conditionalFormatting sqref="C6:C7">
    <cfRule type="expression" dxfId="46" priority="3">
      <formula>AND($C$6="x",$C$8="x")</formula>
    </cfRule>
    <cfRule type="expression" dxfId="45" priority="5">
      <formula>$C$8="x"</formula>
    </cfRule>
  </conditionalFormatting>
  <conditionalFormatting sqref="C8:C9">
    <cfRule type="expression" dxfId="44" priority="2">
      <formula>AND($C$6="x",$C$8="x")</formula>
    </cfRule>
    <cfRule type="expression" dxfId="43" priority="4">
      <formula>$C$6="x"</formula>
    </cfRule>
  </conditionalFormatting>
  <conditionalFormatting sqref="C13:C14">
    <cfRule type="expression" dxfId="42" priority="1">
      <formula>$C$8="x"</formula>
    </cfRule>
  </conditionalFormatting>
  <dataValidations count="2">
    <dataValidation type="whole" operator="greaterThanOrEqual" allowBlank="1" showInputMessage="1" showErrorMessage="1" sqref="C14" xr:uid="{25B8C22C-7CEF-4725-81FE-087255A68D38}">
      <formula1>2024</formula1>
    </dataValidation>
    <dataValidation type="whole" operator="greaterThanOrEqual" allowBlank="1" showInputMessage="1" showErrorMessage="1" sqref="C13" xr:uid="{296BF1B3-2888-48FC-87FF-5DEDBBE0F00D}">
      <formula1>2022</formula1>
    </dataValidation>
  </dataValidations>
  <pageMargins left="0.7" right="0.7" top="0.78740157499999996" bottom="0.78740157499999996" header="0.3" footer="0.3"/>
  <pageSetup paperSize="9" scale="77" fitToWidth="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I53"/>
  <sheetViews>
    <sheetView zoomScaleNormal="100" workbookViewId="0">
      <selection activeCell="A4" sqref="A4"/>
    </sheetView>
  </sheetViews>
  <sheetFormatPr baseColWidth="10" defaultColWidth="11.453125" defaultRowHeight="14.5" x14ac:dyDescent="0.35"/>
  <cols>
    <col min="1" max="1" width="24" style="114" customWidth="1"/>
    <col min="2" max="2" width="20.453125" style="114" customWidth="1"/>
    <col min="3" max="3" width="12.7265625" style="114" customWidth="1"/>
    <col min="4" max="4" width="14" style="114" customWidth="1"/>
    <col min="5" max="5" width="17.7265625" style="114" customWidth="1"/>
    <col min="6" max="6" width="16" style="114" customWidth="1"/>
    <col min="7" max="7" width="5.1796875" style="114" customWidth="1"/>
    <col min="8" max="8" width="7.7265625" style="114" customWidth="1"/>
    <col min="9" max="9" width="13.26953125" style="114" bestFit="1" customWidth="1"/>
    <col min="10" max="16384" width="11.453125" style="114"/>
  </cols>
  <sheetData>
    <row r="1" spans="1:9" ht="26" x14ac:dyDescent="0.6">
      <c r="A1" s="607" t="s">
        <v>323</v>
      </c>
      <c r="B1" s="664"/>
      <c r="C1" s="639"/>
      <c r="D1" s="639"/>
      <c r="E1" s="612"/>
      <c r="F1" s="602"/>
    </row>
    <row r="2" spans="1:9" ht="26" x14ac:dyDescent="0.6">
      <c r="A2" s="641" t="s">
        <v>24</v>
      </c>
      <c r="B2" s="665"/>
      <c r="C2" s="642"/>
      <c r="D2" s="642"/>
      <c r="E2" s="518"/>
      <c r="F2" s="609" t="str">
        <f>+Stammdaten!D2</f>
        <v>Version 1.8</v>
      </c>
    </row>
    <row r="3" spans="1:9" x14ac:dyDescent="0.35">
      <c r="A3" s="381">
        <f>+Stammdaten!B5</f>
        <v>0</v>
      </c>
      <c r="B3" s="666"/>
      <c r="C3" s="302">
        <f>+Stammdaten!B3</f>
        <v>0</v>
      </c>
      <c r="D3" s="302"/>
      <c r="E3" s="610" t="s">
        <v>40</v>
      </c>
      <c r="F3" s="611"/>
    </row>
    <row r="4" spans="1:9" ht="15" thickBot="1" x14ac:dyDescent="0.4">
      <c r="A4" s="392"/>
      <c r="B4" s="393"/>
      <c r="C4" s="115"/>
      <c r="D4" s="115"/>
      <c r="E4" s="115"/>
      <c r="F4" s="193"/>
    </row>
    <row r="5" spans="1:9" ht="105" customHeight="1" thickBot="1" x14ac:dyDescent="0.4">
      <c r="A5" s="1080" t="s">
        <v>312</v>
      </c>
      <c r="B5" s="1039"/>
      <c r="C5" s="1039"/>
      <c r="D5" s="1039"/>
      <c r="E5" s="1039"/>
      <c r="F5" s="1040"/>
    </row>
    <row r="6" spans="1:9" x14ac:dyDescent="0.35">
      <c r="A6" s="1095" t="s">
        <v>299</v>
      </c>
      <c r="B6" s="1096"/>
      <c r="C6" s="1097"/>
      <c r="D6" s="1072"/>
      <c r="E6" s="541" t="str">
        <f>+IF(D8="x","","Platzzahl:")</f>
        <v>Platzzahl:</v>
      </c>
      <c r="F6" s="547">
        <f>+IF(D8="x","",Stammdaten!B7)</f>
        <v>0</v>
      </c>
      <c r="G6" s="593" t="str">
        <f>+IF(AND(D6="x",D8="x"),"Bitte wählen Sie ENTWEDER Regelfall ODER atypische Ausstattung!","")</f>
        <v/>
      </c>
    </row>
    <row r="7" spans="1:9" ht="15" thickBot="1" x14ac:dyDescent="0.4">
      <c r="A7" s="514"/>
      <c r="B7" s="513"/>
      <c r="C7" s="508" t="s">
        <v>268</v>
      </c>
      <c r="D7" s="1094"/>
      <c r="E7" s="516" t="str">
        <f>+IF(D8="x","","Ansatz Ausstattung:")</f>
        <v>Ansatz Ausstattung:</v>
      </c>
      <c r="F7" s="546">
        <f>+IF(D8="x","",F6*6000)</f>
        <v>0</v>
      </c>
    </row>
    <row r="8" spans="1:9" x14ac:dyDescent="0.35">
      <c r="A8" s="1095" t="s">
        <v>300</v>
      </c>
      <c r="B8" s="1096"/>
      <c r="C8" s="1097"/>
      <c r="D8" s="1072"/>
      <c r="E8" s="1119" t="str">
        <f>+IF(D8="x","Ansatz Ausstattung:","")</f>
        <v/>
      </c>
      <c r="F8" s="1121" t="str">
        <f>+IF(D8="x",'Anlage atyp. Ausstattung'!D64,"")</f>
        <v/>
      </c>
      <c r="G8" s="389" t="str">
        <f>+IF(AND(D6="",D8=""),"Bitte wählen Sie ENTWEDER Regelfall ODER atypische Ausstattung!","")</f>
        <v>Bitte wählen Sie ENTWEDER Regelfall ODER atypische Ausstattung!</v>
      </c>
    </row>
    <row r="9" spans="1:9" ht="31.5" customHeight="1" thickBot="1" x14ac:dyDescent="0.4">
      <c r="A9" s="1116" t="s">
        <v>304</v>
      </c>
      <c r="B9" s="1117"/>
      <c r="C9" s="1118"/>
      <c r="D9" s="1094"/>
      <c r="E9" s="1120"/>
      <c r="F9" s="1122"/>
      <c r="G9" s="389" t="str">
        <f>+IF(AND(D8="x",F8=0),"Bitte füllen Sie den Reiter Anlage atyp. Ausstattung aus!","")</f>
        <v/>
      </c>
    </row>
    <row r="10" spans="1:9" x14ac:dyDescent="0.35">
      <c r="A10" s="392"/>
      <c r="B10" s="393"/>
      <c r="C10" s="115"/>
      <c r="D10" s="115"/>
      <c r="E10" s="115"/>
      <c r="F10" s="193"/>
    </row>
    <row r="11" spans="1:9" ht="31" customHeight="1" x14ac:dyDescent="0.35">
      <c r="A11" s="1113" t="s">
        <v>298</v>
      </c>
      <c r="B11" s="1114"/>
      <c r="C11" s="1115"/>
      <c r="D11" s="910" t="s">
        <v>176</v>
      </c>
      <c r="E11" s="568" t="s">
        <v>21</v>
      </c>
      <c r="F11" s="568" t="s">
        <v>20</v>
      </c>
    </row>
    <row r="12" spans="1:9" x14ac:dyDescent="0.35">
      <c r="A12" s="569" t="s">
        <v>164</v>
      </c>
      <c r="B12" s="570"/>
      <c r="C12" s="571"/>
      <c r="D12" s="572"/>
      <c r="E12" s="573" t="e">
        <f>+'A Flächen'!E174</f>
        <v>#DIV/0!</v>
      </c>
      <c r="F12" s="574" t="e">
        <f>+'A Flächen'!E175</f>
        <v>#DIV/0!</v>
      </c>
    </row>
    <row r="13" spans="1:9" x14ac:dyDescent="0.35">
      <c r="A13" s="576" t="s">
        <v>116</v>
      </c>
      <c r="B13" s="577"/>
      <c r="C13" s="577"/>
      <c r="D13" s="403">
        <f>+IF(D6="x",F7,IF(D8="X",F8,0))</f>
        <v>0</v>
      </c>
      <c r="E13" s="403" t="e">
        <f>+D13*E12</f>
        <v>#DIV/0!</v>
      </c>
      <c r="F13" s="404" t="e">
        <f>+D13*F12</f>
        <v>#DIV/0!</v>
      </c>
      <c r="H13" s="108" t="s">
        <v>6</v>
      </c>
      <c r="I13" s="162" t="e">
        <f>+D13-E13-F13</f>
        <v>#DIV/0!</v>
      </c>
    </row>
    <row r="14" spans="1:9" x14ac:dyDescent="0.35">
      <c r="A14" s="31"/>
      <c r="B14" s="3"/>
      <c r="C14" s="3"/>
      <c r="D14" s="667"/>
      <c r="E14" s="558"/>
      <c r="F14" s="405"/>
    </row>
    <row r="15" spans="1:9" x14ac:dyDescent="0.35">
      <c r="A15" s="578" t="s">
        <v>25</v>
      </c>
      <c r="B15" s="579"/>
      <c r="C15" s="406">
        <v>0.125</v>
      </c>
      <c r="D15" s="264">
        <f>+D13*0.125</f>
        <v>0</v>
      </c>
      <c r="E15" s="264" t="e">
        <f>+E13*0.125</f>
        <v>#DIV/0!</v>
      </c>
      <c r="F15" s="264" t="e">
        <f>+F13*0.125</f>
        <v>#DIV/0!</v>
      </c>
    </row>
    <row r="16" spans="1:9" x14ac:dyDescent="0.35">
      <c r="A16" s="31"/>
      <c r="B16" s="3"/>
      <c r="C16" s="3"/>
      <c r="D16" s="667"/>
      <c r="E16" s="667"/>
      <c r="F16" s="667"/>
    </row>
    <row r="17" spans="1:9" x14ac:dyDescent="0.35">
      <c r="A17" s="578" t="s">
        <v>26</v>
      </c>
      <c r="B17" s="579"/>
      <c r="C17" s="580"/>
      <c r="D17" s="289"/>
      <c r="E17" s="289"/>
      <c r="F17" s="581"/>
    </row>
    <row r="18" spans="1:9" ht="15" thickBot="1" x14ac:dyDescent="0.4">
      <c r="A18" s="31" t="s">
        <v>163</v>
      </c>
      <c r="B18" s="394"/>
      <c r="C18" s="395"/>
      <c r="D18" s="396"/>
      <c r="E18" s="397"/>
      <c r="F18" s="397"/>
    </row>
    <row r="19" spans="1:9" ht="15" thickTop="1" x14ac:dyDescent="0.35">
      <c r="A19" s="31" t="s">
        <v>166</v>
      </c>
      <c r="B19" s="407">
        <f>+D13-B18</f>
        <v>0</v>
      </c>
      <c r="C19" s="671" t="s">
        <v>167</v>
      </c>
      <c r="D19" s="398"/>
      <c r="E19" s="399"/>
      <c r="F19" s="399"/>
      <c r="G19" s="71"/>
    </row>
    <row r="20" spans="1:9" x14ac:dyDescent="0.35">
      <c r="A20" s="668" t="s">
        <v>168</v>
      </c>
      <c r="B20" s="372">
        <f>+B19-B21</f>
        <v>0</v>
      </c>
      <c r="C20" s="408">
        <f>+'B_1 Geb. Kaltmiete'!C87</f>
        <v>1.4999999999999999E-2</v>
      </c>
      <c r="D20" s="409">
        <f>+C20*B20</f>
        <v>0</v>
      </c>
      <c r="E20" s="411" t="e">
        <f>+D20*$E$12</f>
        <v>#DIV/0!</v>
      </c>
      <c r="F20" s="411" t="e">
        <f>+D20*$F$12</f>
        <v>#DIV/0!</v>
      </c>
      <c r="G20" s="71"/>
    </row>
    <row r="21" spans="1:9" x14ac:dyDescent="0.35">
      <c r="A21" s="668" t="s">
        <v>169</v>
      </c>
      <c r="B21" s="364"/>
      <c r="C21" s="400"/>
      <c r="D21" s="410">
        <f>+C21*B21</f>
        <v>0</v>
      </c>
      <c r="E21" s="412" t="e">
        <f>+D21*$E$12</f>
        <v>#DIV/0!</v>
      </c>
      <c r="F21" s="412" t="e">
        <f>+D21*$F$12</f>
        <v>#DIV/0!</v>
      </c>
      <c r="G21" s="71"/>
    </row>
    <row r="22" spans="1:9" x14ac:dyDescent="0.35">
      <c r="A22" s="669" t="s">
        <v>26</v>
      </c>
      <c r="B22" s="670"/>
      <c r="C22" s="415"/>
      <c r="D22" s="413">
        <f>SUM(D20:D21)</f>
        <v>0</v>
      </c>
      <c r="E22" s="413" t="e">
        <f>SUM(E20:E21)</f>
        <v>#DIV/0!</v>
      </c>
      <c r="F22" s="413" t="e">
        <f>SUM(F20:F21)</f>
        <v>#DIV/0!</v>
      </c>
      <c r="H22" s="108" t="s">
        <v>6</v>
      </c>
      <c r="I22" s="162" t="e">
        <f>+D22-E22-F22</f>
        <v>#DIV/0!</v>
      </c>
    </row>
    <row r="23" spans="1:9" x14ac:dyDescent="0.35">
      <c r="A23" s="672"/>
      <c r="B23" s="613"/>
      <c r="C23" s="673"/>
      <c r="D23" s="674"/>
      <c r="E23" s="675"/>
      <c r="F23" s="675"/>
      <c r="H23" s="401"/>
    </row>
    <row r="24" spans="1:9" x14ac:dyDescent="0.35">
      <c r="A24" s="669" t="s">
        <v>14</v>
      </c>
      <c r="B24" s="670"/>
      <c r="C24" s="415">
        <v>8.0000000000000002E-3</v>
      </c>
      <c r="D24" s="349">
        <f>+D13*C24</f>
        <v>0</v>
      </c>
      <c r="E24" s="349" t="e">
        <f>+C24*E13</f>
        <v>#DIV/0!</v>
      </c>
      <c r="F24" s="349" t="e">
        <f>+F13*C24</f>
        <v>#DIV/0!</v>
      </c>
      <c r="H24" s="401"/>
    </row>
    <row r="25" spans="1:9" x14ac:dyDescent="0.35">
      <c r="A25" s="676"/>
      <c r="B25" s="677"/>
      <c r="C25" s="678"/>
      <c r="D25" s="353"/>
      <c r="E25" s="679"/>
      <c r="F25" s="679"/>
      <c r="H25" s="401"/>
    </row>
    <row r="26" spans="1:9" x14ac:dyDescent="0.35">
      <c r="A26" s="669" t="s">
        <v>117</v>
      </c>
      <c r="B26" s="670"/>
      <c r="C26" s="570"/>
      <c r="D26" s="349">
        <f>+D24+D22+D15</f>
        <v>0</v>
      </c>
      <c r="E26" s="349" t="e">
        <f>+E24+E22+E15</f>
        <v>#DIV/0!</v>
      </c>
      <c r="F26" s="349" t="e">
        <f>+F24+F22+F15</f>
        <v>#DIV/0!</v>
      </c>
    </row>
    <row r="27" spans="1:9" x14ac:dyDescent="0.35">
      <c r="A27" s="680"/>
      <c r="B27" s="302"/>
      <c r="C27" s="302"/>
      <c r="D27" s="295"/>
      <c r="E27" s="273"/>
      <c r="F27" s="273"/>
    </row>
    <row r="28" spans="1:9" x14ac:dyDescent="0.35">
      <c r="A28" s="681" t="s">
        <v>18</v>
      </c>
      <c r="B28" s="602"/>
      <c r="C28" s="379">
        <f>+'B_1 Geb. Kaltmiete'!B104</f>
        <v>0.96499999999999997</v>
      </c>
      <c r="D28" s="682"/>
      <c r="E28" s="683"/>
      <c r="F28" s="683"/>
    </row>
    <row r="29" spans="1:9" x14ac:dyDescent="0.35">
      <c r="A29" s="31" t="s">
        <v>178</v>
      </c>
      <c r="B29" s="416"/>
      <c r="C29" s="416">
        <f>+Stammdaten!B7*12*C28</f>
        <v>0</v>
      </c>
      <c r="D29" s="416"/>
      <c r="E29" s="684"/>
      <c r="F29" s="684"/>
    </row>
    <row r="30" spans="1:9" ht="18.5" x14ac:dyDescent="0.45">
      <c r="A30" s="589" t="s">
        <v>227</v>
      </c>
      <c r="B30" s="590"/>
      <c r="C30" s="591"/>
      <c r="D30" s="417" t="e">
        <f>+D26/$C$29</f>
        <v>#DIV/0!</v>
      </c>
      <c r="E30" s="417" t="e">
        <f>+E26/$C$29</f>
        <v>#DIV/0!</v>
      </c>
      <c r="F30" s="417" t="e">
        <f>+F26/$C$29</f>
        <v>#DIV/0!</v>
      </c>
      <c r="H30" s="108" t="s">
        <v>6</v>
      </c>
      <c r="I30" s="162" t="e">
        <f>+F30+E30-D30</f>
        <v>#DIV/0!</v>
      </c>
    </row>
    <row r="31" spans="1:9" x14ac:dyDescent="0.35">
      <c r="D31" s="402"/>
      <c r="E31" s="402"/>
      <c r="F31" s="402"/>
    </row>
    <row r="32" spans="1:9" x14ac:dyDescent="0.35">
      <c r="D32" s="402"/>
      <c r="E32" s="402"/>
      <c r="F32" s="402"/>
    </row>
    <row r="33" spans="4:6" x14ac:dyDescent="0.35">
      <c r="D33" s="402"/>
      <c r="E33" s="402"/>
      <c r="F33" s="402"/>
    </row>
    <row r="34" spans="4:6" x14ac:dyDescent="0.35">
      <c r="D34" s="402"/>
      <c r="E34" s="402"/>
      <c r="F34" s="402"/>
    </row>
    <row r="35" spans="4:6" x14ac:dyDescent="0.35">
      <c r="D35" s="402"/>
      <c r="E35" s="402"/>
      <c r="F35" s="402"/>
    </row>
    <row r="36" spans="4:6" x14ac:dyDescent="0.35">
      <c r="D36" s="402"/>
      <c r="E36" s="402"/>
      <c r="F36" s="402"/>
    </row>
    <row r="37" spans="4:6" x14ac:dyDescent="0.35">
      <c r="D37" s="402"/>
      <c r="E37" s="402"/>
      <c r="F37" s="402"/>
    </row>
    <row r="38" spans="4:6" x14ac:dyDescent="0.35">
      <c r="D38" s="402"/>
      <c r="E38" s="402"/>
      <c r="F38" s="402"/>
    </row>
    <row r="39" spans="4:6" x14ac:dyDescent="0.35">
      <c r="D39" s="402"/>
      <c r="E39" s="402"/>
      <c r="F39" s="402"/>
    </row>
    <row r="40" spans="4:6" x14ac:dyDescent="0.35">
      <c r="D40" s="402"/>
      <c r="E40" s="402"/>
      <c r="F40" s="402"/>
    </row>
    <row r="41" spans="4:6" x14ac:dyDescent="0.35">
      <c r="D41" s="402"/>
      <c r="E41" s="402"/>
      <c r="F41" s="402"/>
    </row>
    <row r="42" spans="4:6" x14ac:dyDescent="0.35">
      <c r="D42" s="402"/>
      <c r="E42" s="402"/>
      <c r="F42" s="402"/>
    </row>
    <row r="43" spans="4:6" x14ac:dyDescent="0.35">
      <c r="D43" s="402"/>
      <c r="E43" s="402"/>
      <c r="F43" s="402"/>
    </row>
    <row r="44" spans="4:6" x14ac:dyDescent="0.35">
      <c r="D44" s="402"/>
      <c r="E44" s="402"/>
      <c r="F44" s="402"/>
    </row>
    <row r="45" spans="4:6" x14ac:dyDescent="0.35">
      <c r="D45" s="402"/>
      <c r="E45" s="402"/>
      <c r="F45" s="402"/>
    </row>
    <row r="46" spans="4:6" x14ac:dyDescent="0.35">
      <c r="D46" s="402"/>
      <c r="E46" s="402"/>
      <c r="F46" s="402"/>
    </row>
    <row r="47" spans="4:6" x14ac:dyDescent="0.35">
      <c r="D47" s="402"/>
      <c r="E47" s="402"/>
      <c r="F47" s="402"/>
    </row>
    <row r="48" spans="4:6" x14ac:dyDescent="0.35">
      <c r="D48" s="402"/>
      <c r="E48" s="402"/>
      <c r="F48" s="402"/>
    </row>
    <row r="49" spans="4:6" x14ac:dyDescent="0.35">
      <c r="D49" s="402"/>
      <c r="E49" s="402"/>
      <c r="F49" s="402"/>
    </row>
    <row r="50" spans="4:6" x14ac:dyDescent="0.35">
      <c r="D50" s="402"/>
      <c r="E50" s="402"/>
      <c r="F50" s="402"/>
    </row>
    <row r="51" spans="4:6" x14ac:dyDescent="0.35">
      <c r="D51" s="402"/>
      <c r="E51" s="402"/>
      <c r="F51" s="402"/>
    </row>
    <row r="52" spans="4:6" x14ac:dyDescent="0.35">
      <c r="D52" s="402"/>
      <c r="E52" s="402"/>
      <c r="F52" s="402"/>
    </row>
    <row r="53" spans="4:6" x14ac:dyDescent="0.35">
      <c r="D53" s="402"/>
      <c r="E53" s="402"/>
      <c r="F53" s="402"/>
    </row>
  </sheetData>
  <sheetProtection password="A41D" sheet="1" objects="1" scenarios="1"/>
  <mergeCells count="9">
    <mergeCell ref="A11:C11"/>
    <mergeCell ref="A5:F5"/>
    <mergeCell ref="A6:C6"/>
    <mergeCell ref="D6:D7"/>
    <mergeCell ref="A8:C8"/>
    <mergeCell ref="D8:D9"/>
    <mergeCell ref="A9:C9"/>
    <mergeCell ref="E8:E9"/>
    <mergeCell ref="F8:F9"/>
  </mergeCells>
  <conditionalFormatting sqref="I13">
    <cfRule type="expression" dxfId="41" priority="7">
      <formula>OR(I13&lt;-0.0009,I13&gt;0.0009)</formula>
    </cfRule>
  </conditionalFormatting>
  <conditionalFormatting sqref="I22">
    <cfRule type="expression" dxfId="40" priority="6">
      <formula>OR(I22&lt;-0.0009,I22&gt;0.0009)</formula>
    </cfRule>
  </conditionalFormatting>
  <conditionalFormatting sqref="I30">
    <cfRule type="expression" dxfId="39" priority="5">
      <formula>OR(I30&lt;-0.0009,I30&gt;0.0009)</formula>
    </cfRule>
  </conditionalFormatting>
  <conditionalFormatting sqref="D6:D7">
    <cfRule type="expression" dxfId="38" priority="3">
      <formula>AND($D$6="x",$D$8="x")</formula>
    </cfRule>
    <cfRule type="expression" dxfId="37" priority="4">
      <formula>$D$8="x"</formula>
    </cfRule>
  </conditionalFormatting>
  <conditionalFormatting sqref="D8:D9">
    <cfRule type="expression" dxfId="36" priority="1">
      <formula>AND($D$6="x",$D$8="x")</formula>
    </cfRule>
    <cfRule type="expression" dxfId="35" priority="2">
      <formula>$D$6="x"</formula>
    </cfRule>
  </conditionalFormatting>
  <pageMargins left="0.7" right="0.7" top="0.78740157499999996" bottom="0.78740157499999996" header="0.3" footer="0.3"/>
  <pageSetup paperSize="9" scale="74"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theme="4" tint="-0.499984740745262"/>
  </sheetPr>
  <dimension ref="A1:L51"/>
  <sheetViews>
    <sheetView zoomScaleNormal="100" workbookViewId="0">
      <selection activeCell="A16" sqref="A16"/>
    </sheetView>
  </sheetViews>
  <sheetFormatPr baseColWidth="10" defaultColWidth="11.453125" defaultRowHeight="14.5" x14ac:dyDescent="0.35"/>
  <cols>
    <col min="1" max="1" width="11.453125" style="60"/>
    <col min="2" max="3" width="11.453125" style="60" customWidth="1"/>
    <col min="4" max="4" width="13" style="60" bestFit="1" customWidth="1"/>
    <col min="5" max="5" width="13.26953125" style="60" customWidth="1"/>
    <col min="6" max="6" width="13.453125" style="60" customWidth="1"/>
    <col min="7" max="7" width="15.26953125" style="60" customWidth="1"/>
    <col min="8" max="8" width="17.81640625" style="60" customWidth="1"/>
    <col min="9" max="9" width="17.453125" style="60" customWidth="1"/>
    <col min="10" max="16384" width="11.453125" style="60"/>
  </cols>
  <sheetData>
    <row r="1" spans="1:11" ht="26" x14ac:dyDescent="0.6">
      <c r="A1" s="607" t="s">
        <v>323</v>
      </c>
      <c r="B1" s="639"/>
      <c r="C1" s="639"/>
      <c r="D1" s="639"/>
      <c r="E1" s="639"/>
      <c r="F1" s="451"/>
      <c r="G1" s="612"/>
      <c r="H1" s="612"/>
      <c r="I1" s="602"/>
    </row>
    <row r="2" spans="1:11" ht="26" x14ac:dyDescent="0.6">
      <c r="A2" s="685" t="s">
        <v>128</v>
      </c>
      <c r="B2" s="643"/>
      <c r="C2" s="643"/>
      <c r="D2" s="643"/>
      <c r="E2" s="643"/>
      <c r="F2" s="455"/>
      <c r="G2" s="518"/>
      <c r="H2" s="518"/>
      <c r="I2" s="609" t="str">
        <f>+Stammdaten!D2</f>
        <v>Version 1.8</v>
      </c>
    </row>
    <row r="3" spans="1:11" x14ac:dyDescent="0.35">
      <c r="A3" s="381">
        <f>+Stammdaten!B5</f>
        <v>0</v>
      </c>
      <c r="B3" s="466"/>
      <c r="C3" s="302"/>
      <c r="D3" s="302">
        <f>+Stammdaten!B3</f>
        <v>0</v>
      </c>
      <c r="E3" s="302"/>
      <c r="F3" s="466"/>
      <c r="G3" s="686"/>
      <c r="H3" s="610" t="s">
        <v>40</v>
      </c>
      <c r="I3" s="611"/>
    </row>
    <row r="4" spans="1:11" ht="18.5" x14ac:dyDescent="0.45">
      <c r="A4" s="418"/>
      <c r="B4" s="62"/>
      <c r="C4" s="62"/>
      <c r="D4" s="62"/>
      <c r="E4" s="62"/>
      <c r="F4" s="419"/>
      <c r="G4" s="62"/>
      <c r="H4" s="62"/>
      <c r="I4" s="63"/>
    </row>
    <row r="5" spans="1:11" ht="37" x14ac:dyDescent="0.45">
      <c r="A5" s="66"/>
      <c r="B5" s="62"/>
      <c r="C5" s="62"/>
      <c r="D5" s="62"/>
      <c r="E5" s="62"/>
      <c r="F5" s="62"/>
      <c r="G5" s="445" t="s">
        <v>22</v>
      </c>
      <c r="H5" s="446" t="s">
        <v>39</v>
      </c>
      <c r="I5" s="447" t="s">
        <v>5</v>
      </c>
    </row>
    <row r="6" spans="1:11" x14ac:dyDescent="0.35">
      <c r="A6" s="66"/>
      <c r="B6" s="62"/>
      <c r="C6" s="62"/>
      <c r="D6" s="62"/>
      <c r="E6" s="62"/>
      <c r="F6" s="62"/>
      <c r="G6" s="687"/>
      <c r="H6" s="687"/>
      <c r="I6" s="688"/>
    </row>
    <row r="7" spans="1:11" s="114" customFormat="1" ht="18.5" x14ac:dyDescent="0.45">
      <c r="A7" s="448" t="s">
        <v>228</v>
      </c>
      <c r="B7" s="449"/>
      <c r="C7" s="449"/>
      <c r="D7" s="449"/>
      <c r="E7" s="449"/>
      <c r="F7" s="449"/>
      <c r="G7" s="689"/>
      <c r="H7" s="439"/>
      <c r="I7" s="440"/>
    </row>
    <row r="8" spans="1:11" ht="18.5" x14ac:dyDescent="0.45">
      <c r="A8" s="450" t="s">
        <v>318</v>
      </c>
      <c r="B8" s="451"/>
      <c r="C8" s="451"/>
      <c r="D8" s="452"/>
      <c r="E8" s="451"/>
      <c r="F8" s="451"/>
      <c r="G8" s="441" t="e">
        <f>+H8+I8</f>
        <v>#DIV/0!</v>
      </c>
      <c r="H8" s="441" t="e">
        <f>+'B_1 Geb. Kaltmiete'!E122</f>
        <v>#DIV/0!</v>
      </c>
      <c r="I8" s="442" t="e">
        <f>+'B_1 Geb. Kaltmiete'!F122</f>
        <v>#DIV/0!</v>
      </c>
      <c r="K8" s="424"/>
    </row>
    <row r="9" spans="1:11" ht="18.5" x14ac:dyDescent="0.45">
      <c r="A9" s="453" t="s">
        <v>121</v>
      </c>
      <c r="B9" s="454"/>
      <c r="C9" s="455"/>
      <c r="D9" s="456"/>
      <c r="E9" s="457"/>
      <c r="F9" s="454"/>
      <c r="G9" s="443" t="e">
        <f>+H9+I9</f>
        <v>#VALUE!</v>
      </c>
      <c r="H9" s="443" t="e">
        <f>'C_1 Nebenk.'!D51</f>
        <v>#VALUE!</v>
      </c>
      <c r="I9" s="444" t="e">
        <f>+'C_1 Nebenk.'!F51</f>
        <v>#VALUE!</v>
      </c>
      <c r="J9" s="71"/>
      <c r="K9" s="424"/>
    </row>
    <row r="10" spans="1:11" ht="18.5" x14ac:dyDescent="0.45">
      <c r="A10" s="458" t="s">
        <v>67</v>
      </c>
      <c r="B10" s="459"/>
      <c r="C10" s="460"/>
      <c r="D10" s="461"/>
      <c r="E10" s="462"/>
      <c r="F10" s="463"/>
      <c r="G10" s="443" t="e">
        <f>IF('D Ausstatt.'!D30&gt;0,+H10+I10,0)</f>
        <v>#DIV/0!</v>
      </c>
      <c r="H10" s="443" t="e">
        <f>IF('D Ausstatt.'!D30&gt;0,'D Ausstatt.'!E30,0)</f>
        <v>#DIV/0!</v>
      </c>
      <c r="I10" s="444" t="e">
        <f>IF('D Ausstatt.'!D30&gt;0,'D Ausstatt.'!F30,0)</f>
        <v>#DIV/0!</v>
      </c>
      <c r="K10" s="424"/>
    </row>
    <row r="11" spans="1:11" ht="18.5" x14ac:dyDescent="0.45">
      <c r="A11" s="464" t="s">
        <v>210</v>
      </c>
      <c r="B11" s="465"/>
      <c r="C11" s="466"/>
      <c r="D11" s="467"/>
      <c r="E11" s="468"/>
      <c r="F11" s="469"/>
      <c r="G11" s="690"/>
      <c r="H11" s="439"/>
      <c r="I11" s="440"/>
    </row>
    <row r="12" spans="1:11" ht="18.5" x14ac:dyDescent="0.45">
      <c r="A12" s="470" t="s">
        <v>320</v>
      </c>
      <c r="B12" s="471"/>
      <c r="C12" s="471"/>
      <c r="D12" s="472"/>
      <c r="E12" s="471"/>
      <c r="F12" s="471"/>
      <c r="G12" s="431" t="e">
        <f>(SUM(G8:G10)-'B_1 Geb. Kaltmiete'!E120*0.5)*0.03</f>
        <v>#DIV/0!</v>
      </c>
      <c r="H12" s="431">
        <v>0</v>
      </c>
      <c r="I12" s="432" t="e">
        <f>+G12</f>
        <v>#DIV/0!</v>
      </c>
    </row>
    <row r="13" spans="1:11" ht="18.5" x14ac:dyDescent="0.45">
      <c r="A13" s="470" t="s">
        <v>319</v>
      </c>
      <c r="B13" s="473"/>
      <c r="C13" s="473"/>
      <c r="D13" s="474"/>
      <c r="E13" s="473"/>
      <c r="F13" s="473"/>
      <c r="G13" s="433">
        <f>IF('B_2 Sonder-Infrastr.'!H29&gt;0,'B_2 Sonder-Infrastr.'!D166,0)</f>
        <v>0</v>
      </c>
      <c r="H13" s="433">
        <f>IF('B_2 Sonder-Infrastr.'!H29&gt;0,'B_2 Sonder-Infrastr.'!E166,0)</f>
        <v>0</v>
      </c>
      <c r="I13" s="434">
        <f>IF('B_2 Sonder-Infrastr.'!H29&gt;0,'B_2 Sonder-Infrastr.'!F166,0)</f>
        <v>0</v>
      </c>
    </row>
    <row r="14" spans="1:11" ht="18.5" x14ac:dyDescent="0.45">
      <c r="A14" s="470" t="s">
        <v>288</v>
      </c>
      <c r="B14" s="475"/>
      <c r="C14" s="473"/>
      <c r="D14" s="474"/>
      <c r="E14" s="476"/>
      <c r="F14" s="475"/>
      <c r="G14" s="435">
        <f>IF('C_2 NK Sonder-Infrastr.'!C43&gt;0,'C_2 NK Sonder-Infrastr.'!D49,0)</f>
        <v>0</v>
      </c>
      <c r="H14" s="435">
        <f>IF('C_2 NK Sonder-Infrastr.'!E43&gt;0,'C_2 NK Sonder-Infrastr.'!E49,0)</f>
        <v>0</v>
      </c>
      <c r="I14" s="436">
        <f>IF('C_2 NK Sonder-Infrastr.'!F43&gt;0,'C_2 NK Sonder-Infrastr.'!F49,0)</f>
        <v>0</v>
      </c>
    </row>
    <row r="15" spans="1:11" ht="18.5" x14ac:dyDescent="0.45">
      <c r="A15" s="1125" t="s">
        <v>189</v>
      </c>
      <c r="B15" s="1126"/>
      <c r="C15" s="1126"/>
      <c r="D15" s="1126"/>
      <c r="E15" s="1126"/>
      <c r="F15" s="1127"/>
      <c r="G15" s="437" t="e">
        <f>+G8+G9+G10+G12+G13+G14</f>
        <v>#DIV/0!</v>
      </c>
      <c r="H15" s="437" t="e">
        <f>+H8+H9+H10+H12+H13+H14</f>
        <v>#DIV/0!</v>
      </c>
      <c r="I15" s="438" t="e">
        <f>+I8+I9+I10+I12+I13+I14</f>
        <v>#DIV/0!</v>
      </c>
    </row>
    <row r="16" spans="1:11" ht="15" thickBot="1" x14ac:dyDescent="0.4">
      <c r="A16" s="477"/>
      <c r="B16" s="454"/>
      <c r="C16" s="454"/>
      <c r="D16" s="454"/>
      <c r="E16" s="457"/>
      <c r="F16" s="454"/>
      <c r="G16" s="420"/>
      <c r="H16" s="421"/>
      <c r="I16" s="422"/>
    </row>
    <row r="17" spans="1:12" x14ac:dyDescent="0.35">
      <c r="A17" s="1131" t="s">
        <v>289</v>
      </c>
      <c r="B17" s="1132"/>
      <c r="C17" s="1132"/>
      <c r="D17" s="1132"/>
      <c r="E17" s="1132"/>
      <c r="F17" s="1132"/>
      <c r="G17" s="1132"/>
      <c r="H17" s="1132"/>
      <c r="I17" s="1133"/>
    </row>
    <row r="18" spans="1:12" x14ac:dyDescent="0.35">
      <c r="A18" s="1134"/>
      <c r="B18" s="1135"/>
      <c r="C18" s="1135"/>
      <c r="D18" s="1135"/>
      <c r="E18" s="1135"/>
      <c r="F18" s="1135"/>
      <c r="G18" s="1135"/>
      <c r="H18" s="1135"/>
      <c r="I18" s="1136"/>
    </row>
    <row r="19" spans="1:12" x14ac:dyDescent="0.35">
      <c r="A19" s="1134"/>
      <c r="B19" s="1135"/>
      <c r="C19" s="1135"/>
      <c r="D19" s="1135"/>
      <c r="E19" s="1135"/>
      <c r="F19" s="1135"/>
      <c r="G19" s="1135"/>
      <c r="H19" s="1135"/>
      <c r="I19" s="1136"/>
    </row>
    <row r="20" spans="1:12" ht="9.75" customHeight="1" thickBot="1" x14ac:dyDescent="0.4">
      <c r="A20" s="1137"/>
      <c r="B20" s="1138"/>
      <c r="C20" s="1138"/>
      <c r="D20" s="1138"/>
      <c r="E20" s="1138"/>
      <c r="F20" s="1138"/>
      <c r="G20" s="1138"/>
      <c r="H20" s="1138"/>
      <c r="I20" s="1139"/>
    </row>
    <row r="21" spans="1:12" ht="42" customHeight="1" x14ac:dyDescent="0.35">
      <c r="A21" s="1128" t="s">
        <v>321</v>
      </c>
      <c r="B21" s="1129"/>
      <c r="C21" s="1129"/>
      <c r="D21" s="1129"/>
      <c r="E21" s="1129"/>
      <c r="F21" s="1130"/>
      <c r="G21" s="691"/>
      <c r="H21" s="423"/>
      <c r="I21" s="692"/>
    </row>
    <row r="22" spans="1:12" ht="19" thickBot="1" x14ac:dyDescent="0.5">
      <c r="A22" s="693" t="s">
        <v>123</v>
      </c>
      <c r="B22" s="694"/>
      <c r="C22" s="694"/>
      <c r="D22" s="694"/>
      <c r="E22" s="695"/>
      <c r="F22" s="694"/>
      <c r="G22" s="696"/>
      <c r="H22" s="430">
        <f>H21</f>
        <v>0</v>
      </c>
      <c r="I22" s="697"/>
    </row>
    <row r="23" spans="1:12" x14ac:dyDescent="0.35">
      <c r="A23" s="477"/>
      <c r="B23" s="454"/>
      <c r="C23" s="454"/>
      <c r="D23" s="454"/>
      <c r="E23" s="457"/>
      <c r="F23" s="454"/>
      <c r="G23" s="698"/>
      <c r="H23" s="699"/>
      <c r="I23" s="700"/>
    </row>
    <row r="24" spans="1:12" ht="18.5" x14ac:dyDescent="0.45">
      <c r="A24" s="464" t="s">
        <v>125</v>
      </c>
      <c r="B24" s="701"/>
      <c r="C24" s="701"/>
      <c r="D24" s="701"/>
      <c r="E24" s="702"/>
      <c r="F24" s="701"/>
      <c r="G24" s="428" t="e">
        <f>+H24+I24</f>
        <v>#DIV/0!</v>
      </c>
      <c r="H24" s="428" t="e">
        <f>+H15-H22</f>
        <v>#DIV/0!</v>
      </c>
      <c r="I24" s="429" t="e">
        <f>+I15-I21</f>
        <v>#DIV/0!</v>
      </c>
    </row>
    <row r="25" spans="1:12" ht="15" thickBot="1" x14ac:dyDescent="0.4">
      <c r="A25" s="427" t="e">
        <f>+IF('E Mietber.'!H24&lt;0,"Achtung! Da KdU&lt;100% ggfs Regelsatz-Absenkung für Nebenkosten wegen anderweitiger Bedarfsdeckung","")</f>
        <v>#DIV/0!</v>
      </c>
      <c r="B25" s="454"/>
      <c r="C25" s="454"/>
      <c r="D25" s="454"/>
      <c r="E25" s="457"/>
      <c r="F25" s="454"/>
      <c r="G25" s="698"/>
      <c r="H25" s="699"/>
      <c r="I25" s="700"/>
    </row>
    <row r="26" spans="1:12" x14ac:dyDescent="0.35">
      <c r="A26" s="1140" t="s">
        <v>290</v>
      </c>
      <c r="B26" s="1141"/>
      <c r="C26" s="1141"/>
      <c r="D26" s="1141"/>
      <c r="E26" s="1141"/>
      <c r="F26" s="1141"/>
      <c r="G26" s="1141"/>
      <c r="H26" s="1141"/>
      <c r="I26" s="1142"/>
    </row>
    <row r="27" spans="1:12" x14ac:dyDescent="0.35">
      <c r="A27" s="1143"/>
      <c r="B27" s="1144"/>
      <c r="C27" s="1144"/>
      <c r="D27" s="1144"/>
      <c r="E27" s="1144"/>
      <c r="F27" s="1144"/>
      <c r="G27" s="1144"/>
      <c r="H27" s="1144"/>
      <c r="I27" s="1145"/>
      <c r="K27" s="424"/>
    </row>
    <row r="28" spans="1:12" ht="20.25" customHeight="1" thickBot="1" x14ac:dyDescent="0.4">
      <c r="A28" s="1146"/>
      <c r="B28" s="1147"/>
      <c r="C28" s="1147"/>
      <c r="D28" s="1147"/>
      <c r="E28" s="1147"/>
      <c r="F28" s="1147"/>
      <c r="G28" s="1147"/>
      <c r="H28" s="1147"/>
      <c r="I28" s="1148"/>
    </row>
    <row r="29" spans="1:12" ht="18.5" x14ac:dyDescent="0.45">
      <c r="A29" s="911" t="s">
        <v>28</v>
      </c>
      <c r="B29" s="460"/>
      <c r="C29" s="460"/>
      <c r="D29" s="460"/>
      <c r="E29" s="912">
        <v>0.25</v>
      </c>
      <c r="F29" s="913">
        <f>+E29*H22</f>
        <v>0</v>
      </c>
      <c r="G29" s="703"/>
      <c r="H29" s="704"/>
      <c r="I29" s="692"/>
      <c r="L29" s="424"/>
    </row>
    <row r="30" spans="1:12" ht="19" thickBot="1" x14ac:dyDescent="0.5">
      <c r="A30" s="693" t="s">
        <v>124</v>
      </c>
      <c r="B30" s="694"/>
      <c r="C30" s="694"/>
      <c r="D30" s="694"/>
      <c r="E30" s="695"/>
      <c r="F30" s="694"/>
      <c r="G30" s="696"/>
      <c r="H30" s="430" t="e">
        <f>+IF(H24&lt;F29,H24,F29)</f>
        <v>#DIV/0!</v>
      </c>
      <c r="I30" s="697"/>
    </row>
    <row r="31" spans="1:12" ht="15" thickBot="1" x14ac:dyDescent="0.4">
      <c r="A31" s="711"/>
      <c r="B31" s="455"/>
      <c r="C31" s="455"/>
      <c r="D31" s="455"/>
      <c r="E31" s="455"/>
      <c r="F31" s="455"/>
      <c r="G31" s="705"/>
      <c r="H31" s="705"/>
      <c r="I31" s="706"/>
    </row>
    <row r="32" spans="1:12" ht="26.5" thickBot="1" x14ac:dyDescent="0.65">
      <c r="A32" s="707" t="s">
        <v>51</v>
      </c>
      <c r="B32" s="708"/>
      <c r="C32" s="708"/>
      <c r="D32" s="708"/>
      <c r="E32" s="709"/>
      <c r="F32" s="708"/>
      <c r="G32" s="478"/>
      <c r="H32" s="478" t="e">
        <f>+H30+H22</f>
        <v>#DIV/0!</v>
      </c>
      <c r="I32" s="710"/>
      <c r="K32" s="424"/>
    </row>
    <row r="33" spans="1:9" x14ac:dyDescent="0.35">
      <c r="A33" s="711"/>
      <c r="B33" s="455"/>
      <c r="C33" s="455"/>
      <c r="D33" s="455"/>
      <c r="E33" s="455"/>
      <c r="F33" s="455"/>
      <c r="G33" s="687"/>
      <c r="H33" s="687"/>
      <c r="I33" s="688"/>
    </row>
    <row r="34" spans="1:9" ht="18.5" x14ac:dyDescent="0.45">
      <c r="A34" s="464" t="s">
        <v>125</v>
      </c>
      <c r="B34" s="701"/>
      <c r="C34" s="701"/>
      <c r="D34" s="701"/>
      <c r="E34" s="702"/>
      <c r="F34" s="701"/>
      <c r="G34" s="428" t="e">
        <f>+H34+I34</f>
        <v>#DIV/0!</v>
      </c>
      <c r="H34" s="428" t="e">
        <f>+H24-H30</f>
        <v>#DIV/0!</v>
      </c>
      <c r="I34" s="429" t="e">
        <f>+I24-I29</f>
        <v>#DIV/0!</v>
      </c>
    </row>
    <row r="35" spans="1:9" ht="15" thickBot="1" x14ac:dyDescent="0.4">
      <c r="A35" s="711"/>
      <c r="B35" s="455"/>
      <c r="C35" s="455"/>
      <c r="D35" s="455"/>
      <c r="E35" s="455"/>
      <c r="F35" s="455"/>
      <c r="G35" s="687"/>
      <c r="H35" s="687"/>
      <c r="I35" s="688"/>
    </row>
    <row r="36" spans="1:9" x14ac:dyDescent="0.35">
      <c r="A36" s="1149" t="s">
        <v>291</v>
      </c>
      <c r="B36" s="1150"/>
      <c r="C36" s="1150"/>
      <c r="D36" s="1150"/>
      <c r="E36" s="1150"/>
      <c r="F36" s="1150"/>
      <c r="G36" s="1150"/>
      <c r="H36" s="1150"/>
      <c r="I36" s="1151"/>
    </row>
    <row r="37" spans="1:9" x14ac:dyDescent="0.35">
      <c r="A37" s="1152"/>
      <c r="B37" s="1153"/>
      <c r="C37" s="1153"/>
      <c r="D37" s="1153"/>
      <c r="E37" s="1153"/>
      <c r="F37" s="1153"/>
      <c r="G37" s="1153"/>
      <c r="H37" s="1153"/>
      <c r="I37" s="1154"/>
    </row>
    <row r="38" spans="1:9" ht="21" customHeight="1" thickBot="1" x14ac:dyDescent="0.4">
      <c r="A38" s="1155"/>
      <c r="B38" s="1156"/>
      <c r="C38" s="1156"/>
      <c r="D38" s="1156"/>
      <c r="E38" s="1156"/>
      <c r="F38" s="1156"/>
      <c r="G38" s="1156"/>
      <c r="H38" s="1156"/>
      <c r="I38" s="1157"/>
    </row>
    <row r="39" spans="1:9" ht="19" thickBot="1" x14ac:dyDescent="0.5">
      <c r="A39" s="712" t="s">
        <v>126</v>
      </c>
      <c r="B39" s="713"/>
      <c r="C39" s="713"/>
      <c r="D39" s="713"/>
      <c r="E39" s="713"/>
      <c r="F39" s="713"/>
      <c r="G39" s="714"/>
      <c r="H39" s="479" t="e">
        <f>+H34</f>
        <v>#DIV/0!</v>
      </c>
      <c r="I39" s="715"/>
    </row>
    <row r="40" spans="1:9" x14ac:dyDescent="0.35">
      <c r="A40" s="711"/>
      <c r="B40" s="455"/>
      <c r="C40" s="455"/>
      <c r="D40" s="455"/>
      <c r="E40" s="455"/>
      <c r="F40" s="455"/>
      <c r="G40" s="687"/>
      <c r="H40" s="687"/>
      <c r="I40" s="688"/>
    </row>
    <row r="41" spans="1:9" ht="18.5" x14ac:dyDescent="0.45">
      <c r="A41" s="464" t="s">
        <v>125</v>
      </c>
      <c r="B41" s="701"/>
      <c r="C41" s="701"/>
      <c r="D41" s="701"/>
      <c r="E41" s="702"/>
      <c r="F41" s="701"/>
      <c r="G41" s="428" t="e">
        <f>+H41+I41</f>
        <v>#DIV/0!</v>
      </c>
      <c r="H41" s="428" t="e">
        <f>+H34-H39</f>
        <v>#DIV/0!</v>
      </c>
      <c r="I41" s="429" t="e">
        <f>+I34-I39</f>
        <v>#DIV/0!</v>
      </c>
    </row>
    <row r="42" spans="1:9" ht="15" thickBot="1" x14ac:dyDescent="0.4">
      <c r="A42" s="711"/>
      <c r="B42" s="455"/>
      <c r="C42" s="455"/>
      <c r="D42" s="455"/>
      <c r="E42" s="455"/>
      <c r="F42" s="455"/>
      <c r="G42" s="687"/>
      <c r="H42" s="687"/>
      <c r="I42" s="688"/>
    </row>
    <row r="43" spans="1:9" x14ac:dyDescent="0.35">
      <c r="A43" s="1158" t="s">
        <v>292</v>
      </c>
      <c r="B43" s="1159"/>
      <c r="C43" s="1159"/>
      <c r="D43" s="1159"/>
      <c r="E43" s="1159"/>
      <c r="F43" s="1159"/>
      <c r="G43" s="1159"/>
      <c r="H43" s="1159"/>
      <c r="I43" s="1160"/>
    </row>
    <row r="44" spans="1:9" x14ac:dyDescent="0.35">
      <c r="A44" s="1161"/>
      <c r="B44" s="1162"/>
      <c r="C44" s="1162"/>
      <c r="D44" s="1162"/>
      <c r="E44" s="1162"/>
      <c r="F44" s="1162"/>
      <c r="G44" s="1162"/>
      <c r="H44" s="1162"/>
      <c r="I44" s="1163"/>
    </row>
    <row r="45" spans="1:9" ht="15" thickBot="1" x14ac:dyDescent="0.4">
      <c r="A45" s="1164"/>
      <c r="B45" s="1165"/>
      <c r="C45" s="1165"/>
      <c r="D45" s="1165"/>
      <c r="E45" s="1165"/>
      <c r="F45" s="1165"/>
      <c r="G45" s="1165"/>
      <c r="H45" s="1165"/>
      <c r="I45" s="1166"/>
    </row>
    <row r="46" spans="1:9" ht="19" thickBot="1" x14ac:dyDescent="0.5">
      <c r="A46" s="716" t="s">
        <v>127</v>
      </c>
      <c r="B46" s="717"/>
      <c r="C46" s="717"/>
      <c r="D46" s="717"/>
      <c r="E46" s="718"/>
      <c r="F46" s="717"/>
      <c r="G46" s="719"/>
      <c r="H46" s="719"/>
      <c r="I46" s="480" t="e">
        <f>+I41</f>
        <v>#DIV/0!</v>
      </c>
    </row>
    <row r="47" spans="1:9" ht="15" thickBot="1" x14ac:dyDescent="0.4">
      <c r="A47" s="711"/>
      <c r="B47" s="455"/>
      <c r="C47" s="455"/>
      <c r="D47" s="455"/>
      <c r="E47" s="455"/>
      <c r="F47" s="455"/>
      <c r="G47" s="687"/>
      <c r="H47" s="687"/>
      <c r="I47" s="688"/>
    </row>
    <row r="48" spans="1:9" ht="26.5" thickBot="1" x14ac:dyDescent="0.65">
      <c r="A48" s="707" t="s">
        <v>156</v>
      </c>
      <c r="B48" s="708"/>
      <c r="C48" s="708"/>
      <c r="D48" s="708"/>
      <c r="E48" s="709"/>
      <c r="F48" s="708"/>
      <c r="G48" s="478"/>
      <c r="H48" s="1123" t="e">
        <f>+H39+I46</f>
        <v>#DIV/0!</v>
      </c>
      <c r="I48" s="1124"/>
    </row>
    <row r="49" spans="1:9" x14ac:dyDescent="0.35">
      <c r="A49" s="426"/>
      <c r="B49" s="426"/>
      <c r="C49" s="426"/>
      <c r="D49" s="426"/>
      <c r="E49" s="426"/>
      <c r="F49" s="426"/>
      <c r="G49" s="426"/>
      <c r="H49" s="426"/>
      <c r="I49" s="426"/>
    </row>
    <row r="50" spans="1:9" x14ac:dyDescent="0.35">
      <c r="A50" s="720" t="s">
        <v>41</v>
      </c>
      <c r="B50" s="721"/>
      <c r="C50" s="721"/>
      <c r="D50" s="721"/>
      <c r="E50" s="722"/>
      <c r="F50" s="721"/>
      <c r="G50" s="595" t="e">
        <f>+H50+I50</f>
        <v>#DIV/0!</v>
      </c>
      <c r="H50" s="595" t="e">
        <f>+H41-H46</f>
        <v>#DIV/0!</v>
      </c>
      <c r="I50" s="594" t="e">
        <f>+I41-I46</f>
        <v>#DIV/0!</v>
      </c>
    </row>
    <row r="51" spans="1:9" x14ac:dyDescent="0.35">
      <c r="A51" s="720" t="s">
        <v>42</v>
      </c>
      <c r="B51" s="721"/>
      <c r="C51" s="721"/>
      <c r="D51" s="721"/>
      <c r="E51" s="722"/>
      <c r="F51" s="721"/>
      <c r="G51" s="595" t="e">
        <f>+H51+I51</f>
        <v>#DIV/0!</v>
      </c>
      <c r="H51" s="595" t="e">
        <f>+H15-H22-H30-H39</f>
        <v>#DIV/0!</v>
      </c>
      <c r="I51" s="594" t="e">
        <f>+I15-I22-I30-I39-I46</f>
        <v>#DIV/0!</v>
      </c>
    </row>
  </sheetData>
  <sheetProtection algorithmName="SHA-512" hashValue="rLYl1A10Qfm+YwCsV81tHK86QDpNyWwxx3iqeGwiqH4+mSx7243Zwhzk4jGoQG9tVV47ELq0ZF8y0oB/wENaPA==" saltValue="d6ek8vAab/JzaFin8h8gAA==" spinCount="100000" sheet="1" objects="1" scenarios="1"/>
  <mergeCells count="7">
    <mergeCell ref="H48:I48"/>
    <mergeCell ref="A15:F15"/>
    <mergeCell ref="A21:F21"/>
    <mergeCell ref="A17:I20"/>
    <mergeCell ref="A26:I28"/>
    <mergeCell ref="A36:I38"/>
    <mergeCell ref="A43:I45"/>
  </mergeCells>
  <conditionalFormatting sqref="A25">
    <cfRule type="containsErrors" dxfId="34" priority="3">
      <formula>ISERROR(A25)</formula>
    </cfRule>
  </conditionalFormatting>
  <conditionalFormatting sqref="G50:I51">
    <cfRule type="expression" dxfId="33" priority="1">
      <formula>OR(G50&lt;-0.0009,G50&gt;0.0009)</formula>
    </cfRule>
  </conditionalFormatting>
  <pageMargins left="0.7" right="0.7" top="0.78740157499999996" bottom="0.78740157499999996" header="0.3" footer="0.3"/>
  <pageSetup paperSize="9" scale="70"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Stammdaten</vt:lpstr>
      <vt:lpstr>Erg.-Übersicht</vt:lpstr>
      <vt:lpstr>A Flächen</vt:lpstr>
      <vt:lpstr>B_1 Geb. Kaltmiete</vt:lpstr>
      <vt:lpstr>B_2 Sonder-Infrastr.</vt:lpstr>
      <vt:lpstr>C_1 Nebenk.</vt:lpstr>
      <vt:lpstr>C_2 NK Sonder-Infrastr.</vt:lpstr>
      <vt:lpstr>D Ausstatt.</vt:lpstr>
      <vt:lpstr>E Mietber.</vt:lpstr>
      <vt:lpstr>Zimmer-Kat.</vt:lpstr>
      <vt:lpstr>Anlage Inflationsraten</vt:lpstr>
      <vt:lpstr>Anlage atyp. Ausstattung</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 Mietber.'!Druckbereich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2023-11-07T09:40:07Z</cp:lastPrinted>
  <dcterms:created xsi:type="dcterms:W3CDTF">2017-07-26T12:10:48Z</dcterms:created>
  <dcterms:modified xsi:type="dcterms:W3CDTF">2023-12-08T19:21:54Z</dcterms:modified>
</cp:coreProperties>
</file>