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DieseArbeitsmappe" defaultThemeVersion="124226"/>
  <mc:AlternateContent xmlns:mc="http://schemas.openxmlformats.org/markup-compatibility/2006">
    <mc:Choice Requires="x15">
      <x15ac:absPath xmlns:x15ac="http://schemas.microsoft.com/office/spreadsheetml/2010/11/ac" url="H:\Finanzen\Zuschüsse\000 Zuschussverfahren\Behindertenhilfe\BTHG\BTHG-Projektgruppe LIGA\KdU\"/>
    </mc:Choice>
  </mc:AlternateContent>
  <xr:revisionPtr revIDLastSave="0" documentId="13_ncr:1_{73D95396-E2FB-4175-AB48-2F9C55C9408A}" xr6:coauthVersionLast="47" xr6:coauthVersionMax="47" xr10:uidLastSave="{00000000-0000-0000-0000-000000000000}"/>
  <bookViews>
    <workbookView xWindow="-120" yWindow="-120" windowWidth="29040" windowHeight="15720" tabRatio="749" xr2:uid="{00000000-000D-0000-FFFF-FFFF00000000}"/>
  </bookViews>
  <sheets>
    <sheet name="Stammdaten" sheetId="11" r:id="rId1"/>
    <sheet name="Erg.-Übersicht" sheetId="14" r:id="rId2"/>
    <sheet name="A Flächen" sheetId="1" r:id="rId3"/>
    <sheet name="B_1 Geb. Kaltmiete" sheetId="2" r:id="rId4"/>
    <sheet name="B_2 Sonder-Infrastr." sheetId="12" r:id="rId5"/>
    <sheet name="C_1 Nebenk." sheetId="9" r:id="rId6"/>
    <sheet name="C_2 NK Sonder-Infrastr." sheetId="13" r:id="rId7"/>
    <sheet name="D Ausstatt." sheetId="3" r:id="rId8"/>
    <sheet name="Zimmer-Kat." sheetId="15" r:id="rId9"/>
    <sheet name="Anlage atyp. Ausstattung" sheetId="16" r:id="rId10"/>
    <sheet name="Anlage Inflationsraten" sheetId="10" r:id="rId11"/>
  </sheets>
  <definedNames>
    <definedName name="_xlnm.Print_Area" localSheetId="2">'A Flächen'!$A$1:$G$192</definedName>
    <definedName name="_xlnm.Print_Area" localSheetId="9">'Anlage atyp. Ausstattung'!$A$1:$F$64</definedName>
    <definedName name="_xlnm.Print_Area" localSheetId="3">'B_1 Geb. Kaltmiete'!$A$1:$F$130</definedName>
    <definedName name="_xlnm.Print_Area" localSheetId="4">'B_2 Sonder-Infrastr.'!$A$1:$H$166</definedName>
    <definedName name="_xlnm.Print_Area" localSheetId="5">'C_1 Nebenk.'!$A$1:$F$51</definedName>
    <definedName name="_xlnm.Print_Area" localSheetId="6">'C_2 NK Sonder-Infrastr.'!$A$1:$F$49</definedName>
    <definedName name="_xlnm.Print_Area" localSheetId="7">'D Ausstatt.'!$A$1:$F$40</definedName>
    <definedName name="_xlnm.Print_Area" localSheetId="1">'Erg.-Übersicht'!$A$1:$E$51</definedName>
    <definedName name="_xlnm.Print_Area" localSheetId="0">Stammdaten!$A$1:$D$42</definedName>
    <definedName name="_xlnm.Print_Area" localSheetId="8">'Zimmer-Kat.'!$A$1:$F$65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3" l="1"/>
  <c r="J12" i="10"/>
  <c r="I37" i="2"/>
  <c r="I36" i="2"/>
  <c r="H36" i="2"/>
  <c r="H37" i="2" s="1"/>
  <c r="G10" i="2" l="1"/>
  <c r="F18" i="3"/>
  <c r="A19" i="3"/>
  <c r="D15" i="10"/>
  <c r="G19" i="3"/>
  <c r="G18" i="3"/>
  <c r="G17" i="3"/>
  <c r="F19" i="3"/>
  <c r="E19" i="3"/>
  <c r="E18" i="3"/>
  <c r="E16" i="3"/>
  <c r="C9" i="3"/>
  <c r="B127" i="2" l="1"/>
  <c r="E25" i="2"/>
  <c r="E23" i="2"/>
  <c r="E31" i="15" l="1"/>
  <c r="D31" i="15"/>
  <c r="C31" i="15"/>
  <c r="B49" i="14"/>
  <c r="E63" i="15" s="1"/>
  <c r="D125" i="2"/>
  <c r="E20" i="2"/>
  <c r="D119" i="2"/>
  <c r="G8" i="3"/>
  <c r="D16" i="10"/>
  <c r="D17" i="10" s="1"/>
  <c r="D18" i="10" s="1"/>
  <c r="D19" i="10" s="1"/>
  <c r="D20" i="10" s="1"/>
  <c r="B51" i="14" l="1"/>
  <c r="C63" i="15"/>
  <c r="D63" i="15"/>
  <c r="J33" i="10"/>
  <c r="J34" i="10" s="1"/>
  <c r="J30" i="10"/>
  <c r="J31" i="10" s="1"/>
  <c r="J32" i="10" s="1"/>
  <c r="J35" i="10"/>
  <c r="J26" i="10"/>
  <c r="J27" i="10" s="1"/>
  <c r="I31" i="10"/>
  <c r="J16" i="10"/>
  <c r="J17" i="10" s="1"/>
  <c r="E10" i="2"/>
  <c r="A118" i="2"/>
  <c r="A119" i="2"/>
  <c r="A120" i="2"/>
  <c r="G11" i="2"/>
  <c r="C117" i="2"/>
  <c r="C116" i="2"/>
  <c r="C115" i="2"/>
  <c r="C114" i="2"/>
  <c r="G9" i="3"/>
  <c r="G16" i="3"/>
  <c r="G12" i="3"/>
  <c r="G13" i="3"/>
  <c r="F16" i="3"/>
  <c r="F12" i="3"/>
  <c r="E13" i="3"/>
  <c r="E12" i="3"/>
  <c r="H63" i="15" l="1"/>
  <c r="G10" i="16"/>
  <c r="G9" i="16"/>
  <c r="F13" i="3" l="1"/>
  <c r="C7" i="3"/>
  <c r="G7" i="2"/>
  <c r="G8" i="2"/>
  <c r="G6" i="2"/>
  <c r="E11" i="2"/>
  <c r="E9" i="2"/>
  <c r="E15" i="13" l="1"/>
  <c r="D14" i="13" l="1"/>
  <c r="D19" i="9"/>
  <c r="D13" i="13"/>
  <c r="D47" i="13"/>
  <c r="C47" i="13"/>
  <c r="D21" i="13"/>
  <c r="C21" i="13"/>
  <c r="C20" i="13"/>
  <c r="C19" i="13"/>
  <c r="C16" i="13"/>
  <c r="G8" i="13"/>
  <c r="G6" i="13"/>
  <c r="C21" i="9" l="1"/>
  <c r="E2" i="10"/>
  <c r="F2" i="9"/>
  <c r="J11" i="10"/>
  <c r="B26" i="9" l="1"/>
  <c r="C26" i="9" l="1"/>
  <c r="C49" i="9"/>
  <c r="B49" i="9"/>
  <c r="D18" i="9"/>
  <c r="B24" i="9"/>
  <c r="B25" i="9"/>
  <c r="E20" i="9"/>
  <c r="I35" i="10"/>
  <c r="I34" i="10"/>
  <c r="I33" i="10"/>
  <c r="I32" i="10"/>
  <c r="I30" i="10"/>
  <c r="I29" i="10"/>
  <c r="I28" i="10"/>
  <c r="I27" i="10"/>
  <c r="I26" i="10"/>
  <c r="I25" i="10"/>
  <c r="I24" i="10"/>
  <c r="I23" i="10"/>
  <c r="I22" i="10"/>
  <c r="I21" i="10"/>
  <c r="I20" i="10"/>
  <c r="I19" i="10"/>
  <c r="I18" i="10"/>
  <c r="I17" i="10"/>
  <c r="I16" i="10"/>
  <c r="I15" i="10"/>
  <c r="I14" i="10"/>
  <c r="I13" i="10"/>
  <c r="I12" i="10"/>
  <c r="I11" i="10"/>
  <c r="I10" i="10"/>
  <c r="I9" i="10"/>
  <c r="I8" i="10"/>
  <c r="C15" i="13" s="1"/>
  <c r="I7" i="10"/>
  <c r="I6" i="10"/>
  <c r="J28" i="10"/>
  <c r="J29" i="10" s="1"/>
  <c r="J21" i="10"/>
  <c r="J22" i="10" s="1"/>
  <c r="J23" i="10" s="1"/>
  <c r="J24" i="10" s="1"/>
  <c r="J25" i="10" s="1"/>
  <c r="J18" i="10"/>
  <c r="J6" i="10"/>
  <c r="J7" i="10" s="1"/>
  <c r="G13" i="9"/>
  <c r="G11" i="9"/>
  <c r="F2" i="13"/>
  <c r="J19" i="10" l="1"/>
  <c r="J20" i="10" s="1"/>
  <c r="D39" i="13"/>
  <c r="D31" i="13"/>
  <c r="D27" i="13"/>
  <c r="D42" i="13"/>
  <c r="D38" i="13"/>
  <c r="D30" i="13"/>
  <c r="D26" i="13"/>
  <c r="D37" i="13"/>
  <c r="D25" i="13"/>
  <c r="D36" i="13"/>
  <c r="D24" i="13"/>
  <c r="D41" i="13"/>
  <c r="D35" i="13"/>
  <c r="D29" i="13"/>
  <c r="D34" i="13"/>
  <c r="D40" i="13"/>
  <c r="D33" i="13"/>
  <c r="D28" i="13"/>
  <c r="D32" i="13"/>
  <c r="F32" i="13" s="1"/>
  <c r="J13" i="10"/>
  <c r="J14" i="10" s="1"/>
  <c r="J15" i="10" s="1"/>
  <c r="C20" i="9"/>
  <c r="C37" i="9" s="1"/>
  <c r="J8" i="10"/>
  <c r="J9" i="10" s="1"/>
  <c r="J10" i="10" s="1"/>
  <c r="E71" i="12"/>
  <c r="C45" i="9" l="1"/>
  <c r="C28" i="9"/>
  <c r="C41" i="9"/>
  <c r="C29" i="9"/>
  <c r="C39" i="9"/>
  <c r="C47" i="9"/>
  <c r="C36" i="9"/>
  <c r="C42" i="9"/>
  <c r="C40" i="9"/>
  <c r="C38" i="9"/>
  <c r="C31" i="9"/>
  <c r="C46" i="9"/>
  <c r="C34" i="9"/>
  <c r="C30" i="9"/>
  <c r="C44" i="9"/>
  <c r="C43" i="9"/>
  <c r="C35" i="9"/>
  <c r="C33" i="9"/>
  <c r="C32" i="9"/>
  <c r="D40" i="2"/>
  <c r="D42" i="2"/>
  <c r="D41" i="2"/>
  <c r="F30" i="13" l="1"/>
  <c r="E30" i="13"/>
  <c r="F29" i="13"/>
  <c r="E29" i="13"/>
  <c r="F25" i="13"/>
  <c r="E25" i="13"/>
  <c r="F36" i="13"/>
  <c r="E36" i="13"/>
  <c r="E41" i="13"/>
  <c r="F41" i="13"/>
  <c r="F28" i="13"/>
  <c r="E28" i="13"/>
  <c r="E24" i="13"/>
  <c r="D43" i="13"/>
  <c r="F24" i="13"/>
  <c r="E34" i="13"/>
  <c r="F34" i="13"/>
  <c r="F35" i="13"/>
  <c r="E35" i="13"/>
  <c r="E33" i="13"/>
  <c r="F33" i="13"/>
  <c r="F37" i="13"/>
  <c r="E37" i="13"/>
  <c r="E32" i="13"/>
  <c r="F42" i="13"/>
  <c r="E42" i="13"/>
  <c r="E39" i="13"/>
  <c r="F39" i="13"/>
  <c r="F40" i="13"/>
  <c r="E40" i="13"/>
  <c r="E27" i="13"/>
  <c r="F27" i="13"/>
  <c r="F31" i="13"/>
  <c r="E31" i="13"/>
  <c r="F38" i="13"/>
  <c r="E38" i="13"/>
  <c r="F26" i="13"/>
  <c r="E26" i="13"/>
  <c r="C48" i="9"/>
  <c r="C50" i="9" s="1"/>
  <c r="C51" i="9" s="1"/>
  <c r="I52" i="9" s="1"/>
  <c r="C42" i="2"/>
  <c r="C40" i="2"/>
  <c r="C41" i="2"/>
  <c r="C55" i="2"/>
  <c r="E43" i="13" l="1"/>
  <c r="B19" i="14" s="1"/>
  <c r="D67" i="2"/>
  <c r="E33" i="15" l="1"/>
  <c r="C33" i="15"/>
  <c r="D33" i="15"/>
  <c r="E2" i="14"/>
  <c r="C138" i="12" l="1"/>
  <c r="A32" i="2" l="1"/>
  <c r="B32" i="2" l="1"/>
  <c r="F12" i="2" l="1"/>
  <c r="B34" i="2"/>
  <c r="B33" i="2"/>
  <c r="B48" i="2" s="1"/>
  <c r="A40" i="2"/>
  <c r="A47" i="2" s="1"/>
  <c r="A31" i="2"/>
  <c r="A35" i="2"/>
  <c r="A34" i="2"/>
  <c r="A33" i="2"/>
  <c r="B35" i="2"/>
  <c r="B31" i="2"/>
  <c r="C56" i="2"/>
  <c r="C54" i="2"/>
  <c r="C53" i="2"/>
  <c r="E16" i="2"/>
  <c r="C65" i="15" l="1"/>
  <c r="D65" i="15"/>
  <c r="E65" i="15"/>
  <c r="B48" i="9"/>
  <c r="B50" i="9" s="1"/>
  <c r="B51" i="9" s="1"/>
  <c r="D61" i="16"/>
  <c r="D62" i="16" s="1"/>
  <c r="H65" i="15" l="1"/>
  <c r="D31" i="3"/>
  <c r="E14" i="3"/>
  <c r="D56" i="16"/>
  <c r="D64" i="16" s="1"/>
  <c r="F14" i="3" s="1"/>
  <c r="D23" i="3" s="1"/>
  <c r="A3" i="16"/>
  <c r="F2" i="16"/>
  <c r="G15" i="3" l="1"/>
  <c r="D34" i="3"/>
  <c r="B29" i="3" l="1"/>
  <c r="F128" i="2"/>
  <c r="G15" i="2" l="1"/>
  <c r="G18" i="2" l="1"/>
  <c r="G13" i="2"/>
  <c r="H131" i="2"/>
  <c r="H130" i="2"/>
  <c r="G7" i="9" l="1"/>
  <c r="G6" i="9"/>
  <c r="G14" i="2"/>
  <c r="F9" i="9"/>
  <c r="F8" i="9"/>
  <c r="E9" i="9"/>
  <c r="E8" i="9"/>
  <c r="E7" i="9"/>
  <c r="E6" i="9"/>
  <c r="E17" i="2"/>
  <c r="E15" i="2"/>
  <c r="E14" i="2"/>
  <c r="E9" i="1" l="1"/>
  <c r="A3" i="1"/>
  <c r="I24" i="15" l="1"/>
  <c r="I23" i="15"/>
  <c r="I22" i="15"/>
  <c r="I14" i="15"/>
  <c r="I16" i="15"/>
  <c r="I15" i="15"/>
  <c r="H99" i="2"/>
  <c r="H43" i="2"/>
  <c r="E8" i="2" l="1"/>
  <c r="A16" i="15"/>
  <c r="E56" i="2" l="1"/>
  <c r="E55" i="2"/>
  <c r="E54" i="2"/>
  <c r="E53" i="2"/>
  <c r="D53" i="2" l="1"/>
  <c r="E25" i="15"/>
  <c r="D25" i="15"/>
  <c r="C25" i="15"/>
  <c r="E13" i="15" l="1"/>
  <c r="E21" i="15" l="1"/>
  <c r="E20" i="15"/>
  <c r="E7" i="15" l="1"/>
  <c r="C27" i="15" s="1"/>
  <c r="F2" i="15"/>
  <c r="F27" i="15" l="1"/>
  <c r="D14" i="15"/>
  <c r="D27" i="15" s="1"/>
  <c r="D22" i="15"/>
  <c r="E27" i="15" s="1"/>
  <c r="H27" i="15" l="1"/>
  <c r="D15" i="15"/>
  <c r="H14" i="15" s="1"/>
  <c r="D23" i="15"/>
  <c r="H22" i="15" s="1"/>
  <c r="B75" i="12"/>
  <c r="C72" i="12"/>
  <c r="H2" i="12" l="1"/>
  <c r="B155" i="12" l="1"/>
  <c r="B154" i="12" l="1"/>
  <c r="C3" i="12" l="1"/>
  <c r="A3" i="12"/>
  <c r="C46" i="12" l="1"/>
  <c r="D72" i="12"/>
  <c r="B156" i="12"/>
  <c r="A140" i="12"/>
  <c r="A139" i="12"/>
  <c r="A138" i="12"/>
  <c r="A137" i="12"/>
  <c r="C133" i="12"/>
  <c r="A133" i="12"/>
  <c r="C132" i="12"/>
  <c r="A132" i="12"/>
  <c r="C131" i="12"/>
  <c r="A131" i="12"/>
  <c r="C130" i="12"/>
  <c r="A130" i="12"/>
  <c r="A126" i="12"/>
  <c r="A125" i="12"/>
  <c r="A124" i="12"/>
  <c r="A116" i="12"/>
  <c r="A115" i="12"/>
  <c r="A114" i="12"/>
  <c r="A110" i="12"/>
  <c r="A109" i="12"/>
  <c r="A108" i="12"/>
  <c r="B98" i="12"/>
  <c r="A98" i="12"/>
  <c r="B96" i="12"/>
  <c r="B95" i="12"/>
  <c r="B94" i="12"/>
  <c r="B90" i="12"/>
  <c r="A90" i="12"/>
  <c r="A96" i="12" s="1"/>
  <c r="B89" i="12"/>
  <c r="A89" i="12"/>
  <c r="A95" i="12" s="1"/>
  <c r="B88" i="12"/>
  <c r="A88" i="12"/>
  <c r="A94" i="12" s="1"/>
  <c r="D65" i="12"/>
  <c r="D59" i="12"/>
  <c r="D47" i="12"/>
  <c r="D42" i="12"/>
  <c r="D40" i="12"/>
  <c r="D39" i="12"/>
  <c r="B36" i="12"/>
  <c r="G28" i="12"/>
  <c r="F28" i="12"/>
  <c r="E28" i="12"/>
  <c r="D28" i="12"/>
  <c r="C28" i="12"/>
  <c r="H27" i="12"/>
  <c r="H26" i="12"/>
  <c r="H25" i="12"/>
  <c r="H24" i="12"/>
  <c r="H23" i="12"/>
  <c r="H22" i="12"/>
  <c r="H21" i="12"/>
  <c r="G19" i="12"/>
  <c r="F19" i="12"/>
  <c r="E19" i="12"/>
  <c r="D19" i="12"/>
  <c r="C19" i="12"/>
  <c r="H18" i="12"/>
  <c r="H17" i="12"/>
  <c r="H16" i="12"/>
  <c r="H15" i="12"/>
  <c r="H14" i="12"/>
  <c r="H13" i="12"/>
  <c r="H12" i="12"/>
  <c r="H11" i="12"/>
  <c r="H10" i="12"/>
  <c r="H9" i="12"/>
  <c r="C96" i="2"/>
  <c r="C95" i="2"/>
  <c r="I71" i="12" l="1"/>
  <c r="E72" i="12"/>
  <c r="C49" i="12"/>
  <c r="C137" i="12"/>
  <c r="C29" i="12"/>
  <c r="G29" i="12"/>
  <c r="F29" i="12"/>
  <c r="H28" i="12"/>
  <c r="D29" i="12"/>
  <c r="E29" i="12"/>
  <c r="D67" i="12"/>
  <c r="C48" i="12"/>
  <c r="H19" i="12"/>
  <c r="D74" i="2"/>
  <c r="D104" i="2" s="1"/>
  <c r="B130" i="12" l="1"/>
  <c r="D45" i="13"/>
  <c r="D46" i="13" s="1"/>
  <c r="C45" i="13"/>
  <c r="D110" i="12"/>
  <c r="B140" i="12"/>
  <c r="B131" i="12"/>
  <c r="D131" i="12" s="1"/>
  <c r="B133" i="12"/>
  <c r="B139" i="12"/>
  <c r="D114" i="12"/>
  <c r="D83" i="12"/>
  <c r="D98" i="12" s="1"/>
  <c r="D147" i="12" s="1"/>
  <c r="D160" i="12" s="1"/>
  <c r="B124" i="12"/>
  <c r="D79" i="12"/>
  <c r="D108" i="12"/>
  <c r="D109" i="12"/>
  <c r="D82" i="12"/>
  <c r="D116" i="12"/>
  <c r="B126" i="12"/>
  <c r="B138" i="12"/>
  <c r="D138" i="12" s="1"/>
  <c r="D115" i="12"/>
  <c r="B125" i="12"/>
  <c r="D81" i="12"/>
  <c r="D80" i="12"/>
  <c r="C88" i="12" s="1"/>
  <c r="D91" i="12"/>
  <c r="K91" i="12" s="1"/>
  <c r="B41" i="12"/>
  <c r="D41" i="12" s="1"/>
  <c r="D43" i="12" s="1"/>
  <c r="D48" i="12"/>
  <c r="C139" i="12"/>
  <c r="D49" i="12"/>
  <c r="C140" i="12"/>
  <c r="H29" i="12"/>
  <c r="K29" i="12" s="1"/>
  <c r="D130" i="12"/>
  <c r="G61" i="1"/>
  <c r="F61" i="1"/>
  <c r="E61" i="1"/>
  <c r="G60" i="1"/>
  <c r="F60" i="1"/>
  <c r="E60" i="1"/>
  <c r="D117" i="12" l="1"/>
  <c r="D140" i="12"/>
  <c r="C90" i="12"/>
  <c r="D90" i="12" s="1"/>
  <c r="D96" i="12" s="1"/>
  <c r="B127" i="12"/>
  <c r="K127" i="12" s="1"/>
  <c r="D139" i="12"/>
  <c r="D48" i="13"/>
  <c r="D49" i="13" s="1"/>
  <c r="C89" i="12"/>
  <c r="D89" i="12" s="1"/>
  <c r="D95" i="12" s="1"/>
  <c r="B43" i="12"/>
  <c r="B46" i="12" s="1"/>
  <c r="D46" i="12" s="1"/>
  <c r="D50" i="12" s="1"/>
  <c r="D52" i="12" s="1"/>
  <c r="B132" i="12"/>
  <c r="D132" i="12" s="1"/>
  <c r="D134" i="12" s="1"/>
  <c r="D111" i="12"/>
  <c r="K111" i="12" s="1"/>
  <c r="D88" i="12"/>
  <c r="D94" i="12" s="1"/>
  <c r="D84" i="12"/>
  <c r="D102" i="12" s="1"/>
  <c r="D104" i="12" s="1"/>
  <c r="D148" i="12" s="1"/>
  <c r="D161" i="12" s="1"/>
  <c r="K117" i="12"/>
  <c r="C43" i="12" l="1"/>
  <c r="D119" i="12"/>
  <c r="I50" i="13"/>
  <c r="D99" i="12"/>
  <c r="C91" i="12"/>
  <c r="B134" i="12"/>
  <c r="B137" i="12" s="1"/>
  <c r="K84" i="12"/>
  <c r="B50" i="12"/>
  <c r="B52" i="12" s="1"/>
  <c r="D146" i="12"/>
  <c r="D159" i="12" s="1"/>
  <c r="D149" i="12"/>
  <c r="D162" i="12" s="1"/>
  <c r="K119" i="12"/>
  <c r="K134" i="12" l="1"/>
  <c r="C134" i="12"/>
  <c r="B141" i="12"/>
  <c r="D137" i="12"/>
  <c r="D141" i="12" s="1"/>
  <c r="D143" i="12" s="1"/>
  <c r="D150" i="12" s="1"/>
  <c r="D147" i="1"/>
  <c r="D164" i="1" s="1"/>
  <c r="G146" i="1"/>
  <c r="G145" i="1"/>
  <c r="G144" i="1"/>
  <c r="G143" i="1"/>
  <c r="G142" i="1"/>
  <c r="G141" i="1"/>
  <c r="G140" i="1"/>
  <c r="G139" i="1"/>
  <c r="G138" i="1"/>
  <c r="G137" i="1"/>
  <c r="G136" i="1"/>
  <c r="G135" i="1"/>
  <c r="G134" i="1"/>
  <c r="G133" i="1"/>
  <c r="G132" i="1"/>
  <c r="D127" i="1"/>
  <c r="D159" i="1" l="1"/>
  <c r="G147" i="1"/>
  <c r="B143" i="12"/>
  <c r="K143" i="12" s="1"/>
  <c r="K141" i="12"/>
  <c r="D163" i="12"/>
  <c r="D164" i="12" s="1"/>
  <c r="D165" i="12" s="1"/>
  <c r="D151" i="12"/>
  <c r="C141" i="12"/>
  <c r="D36" i="2" l="1"/>
  <c r="D66" i="2" s="1"/>
  <c r="D8" i="14" l="1"/>
  <c r="F2" i="3" l="1"/>
  <c r="F2" i="2"/>
  <c r="G2" i="1"/>
  <c r="C30" i="3" l="1"/>
  <c r="B89" i="2" l="1"/>
  <c r="B83" i="2" l="1"/>
  <c r="D88" i="2"/>
  <c r="B90" i="2"/>
  <c r="C43" i="13" l="1"/>
  <c r="A3" i="13"/>
  <c r="C46" i="13" l="1"/>
  <c r="D19" i="14"/>
  <c r="F43" i="13"/>
  <c r="I43" i="13" l="1"/>
  <c r="A3" i="10" l="1"/>
  <c r="C38" i="3"/>
  <c r="C39" i="3" s="1"/>
  <c r="A3" i="3"/>
  <c r="A3" i="9"/>
  <c r="B30" i="3" l="1"/>
  <c r="D30" i="3" s="1"/>
  <c r="D25" i="3"/>
  <c r="D32" i="3" l="1"/>
  <c r="D36" i="3" s="1"/>
  <c r="B93" i="2"/>
  <c r="B97" i="2" s="1"/>
  <c r="A3" i="2"/>
  <c r="G106" i="1"/>
  <c r="F106" i="1"/>
  <c r="E106" i="1"/>
  <c r="G105" i="1"/>
  <c r="F105" i="1"/>
  <c r="E105"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51" i="1"/>
  <c r="G65" i="1"/>
  <c r="G64" i="1"/>
  <c r="G63" i="1"/>
  <c r="G62" i="1"/>
  <c r="G59" i="1"/>
  <c r="G58" i="1"/>
  <c r="G57" i="1"/>
  <c r="G56" i="1"/>
  <c r="G55" i="1"/>
  <c r="G54" i="1"/>
  <c r="G53" i="1"/>
  <c r="G52"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90" i="1"/>
  <c r="G89" i="1"/>
  <c r="G88" i="1"/>
  <c r="G87" i="1"/>
  <c r="G86" i="1"/>
  <c r="G85" i="1"/>
  <c r="G84" i="1"/>
  <c r="G83" i="1"/>
  <c r="G82" i="1"/>
  <c r="G81" i="1"/>
  <c r="G80" i="1"/>
  <c r="G79" i="1"/>
  <c r="G78" i="1"/>
  <c r="G77" i="1"/>
  <c r="G76" i="1"/>
  <c r="G75" i="1"/>
  <c r="G74" i="1"/>
  <c r="G73" i="1"/>
  <c r="G72" i="1"/>
  <c r="G71" i="1"/>
  <c r="G70" i="1"/>
  <c r="D107" i="1"/>
  <c r="D91" i="1"/>
  <c r="D188" i="1" s="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D66" i="1"/>
  <c r="D184" i="1" s="1"/>
  <c r="F65" i="1"/>
  <c r="E65" i="1"/>
  <c r="F64" i="1"/>
  <c r="E64" i="1"/>
  <c r="F63" i="1"/>
  <c r="E63" i="1"/>
  <c r="F62" i="1"/>
  <c r="E62"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B3" i="11"/>
  <c r="A3" i="11"/>
  <c r="C3" i="16" l="1"/>
  <c r="B3" i="14"/>
  <c r="D3" i="15"/>
  <c r="A3" i="14"/>
  <c r="A3" i="15"/>
  <c r="D155" i="1"/>
  <c r="C11" i="14" s="1"/>
  <c r="D154" i="1"/>
  <c r="D156" i="1"/>
  <c r="D149" i="1"/>
  <c r="D152" i="1" s="1"/>
  <c r="D68" i="2"/>
  <c r="C3" i="2"/>
  <c r="B3" i="13"/>
  <c r="C3" i="1"/>
  <c r="C3" i="3"/>
  <c r="B3" i="10"/>
  <c r="B3" i="9"/>
  <c r="D43" i="2"/>
  <c r="I43" i="2" s="1"/>
  <c r="F104" i="1"/>
  <c r="F107" i="1" s="1"/>
  <c r="G104" i="1"/>
  <c r="G107" i="1" s="1"/>
  <c r="E104" i="1"/>
  <c r="E107" i="1" s="1"/>
  <c r="G66" i="1"/>
  <c r="G91" i="1"/>
  <c r="E91" i="1"/>
  <c r="F91" i="1"/>
  <c r="F66" i="1"/>
  <c r="E66" i="1"/>
  <c r="B11" i="14" l="1"/>
  <c r="D11" i="14" s="1"/>
  <c r="J66" i="1"/>
  <c r="J91" i="1"/>
  <c r="J107" i="1"/>
  <c r="G154" i="1"/>
  <c r="G155" i="1"/>
  <c r="F155" i="1"/>
  <c r="D157" i="1"/>
  <c r="E156" i="1" s="1"/>
  <c r="E152" i="1"/>
  <c r="F154" i="1"/>
  <c r="E154" i="1" l="1"/>
  <c r="E160" i="1" s="1"/>
  <c r="D160" i="1" s="1"/>
  <c r="E155" i="1"/>
  <c r="E165" i="1"/>
  <c r="D165" i="1" s="1"/>
  <c r="F165" i="1" s="1"/>
  <c r="E166" i="1"/>
  <c r="D166" i="1" s="1"/>
  <c r="F166" i="1" s="1"/>
  <c r="E162" i="1"/>
  <c r="D162" i="1" s="1"/>
  <c r="D171" i="1" s="1"/>
  <c r="B109" i="2"/>
  <c r="B111" i="2" s="1"/>
  <c r="E157" i="1" l="1"/>
  <c r="E109" i="1"/>
  <c r="E112" i="1" s="1"/>
  <c r="F160" i="1"/>
  <c r="D169" i="1"/>
  <c r="D174" i="1"/>
  <c r="B12" i="14" s="1"/>
  <c r="D185" i="1"/>
  <c r="D186" i="1" s="1"/>
  <c r="F185" i="1" s="1"/>
  <c r="E161" i="1"/>
  <c r="D161" i="1" s="1"/>
  <c r="J166" i="1" s="1"/>
  <c r="F109" i="1"/>
  <c r="E118" i="1"/>
  <c r="G109" i="1"/>
  <c r="D87" i="2"/>
  <c r="D86" i="2"/>
  <c r="D96" i="2"/>
  <c r="D95" i="2"/>
  <c r="D94" i="2"/>
  <c r="B56" i="2"/>
  <c r="B55" i="2"/>
  <c r="B54" i="2"/>
  <c r="B53" i="2"/>
  <c r="C49" i="2"/>
  <c r="B49" i="2"/>
  <c r="C48" i="2"/>
  <c r="C47" i="2"/>
  <c r="B47" i="2"/>
  <c r="B46" i="2"/>
  <c r="A46" i="2"/>
  <c r="A53" i="2" s="1"/>
  <c r="C43" i="2"/>
  <c r="B42" i="2"/>
  <c r="A42" i="2"/>
  <c r="A49" i="2" s="1"/>
  <c r="A56" i="2" s="1"/>
  <c r="B41" i="2"/>
  <c r="A41" i="2"/>
  <c r="A48" i="2" s="1"/>
  <c r="A55" i="2" s="1"/>
  <c r="B40" i="2"/>
  <c r="A54" i="2"/>
  <c r="E115" i="1" l="1"/>
  <c r="E114" i="1"/>
  <c r="E116" i="1"/>
  <c r="E120" i="1"/>
  <c r="E126" i="1"/>
  <c r="E113" i="1"/>
  <c r="E121" i="1"/>
  <c r="E122" i="1"/>
  <c r="E123" i="1"/>
  <c r="E119" i="1"/>
  <c r="E124" i="1"/>
  <c r="E125" i="1"/>
  <c r="E117" i="1"/>
  <c r="F174" i="1"/>
  <c r="D175" i="1"/>
  <c r="C12" i="14" s="1"/>
  <c r="D12" i="14" s="1"/>
  <c r="D170" i="1"/>
  <c r="D172" i="1" s="1"/>
  <c r="E171" i="1" s="1"/>
  <c r="F161" i="1"/>
  <c r="D189" i="1"/>
  <c r="D190" i="1" s="1"/>
  <c r="F184" i="1"/>
  <c r="F186" i="1" s="1"/>
  <c r="G123" i="1"/>
  <c r="G114" i="1"/>
  <c r="G125" i="1"/>
  <c r="G120" i="1"/>
  <c r="G126" i="1"/>
  <c r="G124" i="1"/>
  <c r="G121" i="1"/>
  <c r="G115" i="1"/>
  <c r="G122" i="1"/>
  <c r="G116" i="1"/>
  <c r="G117" i="1"/>
  <c r="G119" i="1"/>
  <c r="G118" i="1"/>
  <c r="G112" i="1"/>
  <c r="G113" i="1"/>
  <c r="F113" i="1"/>
  <c r="F115" i="1"/>
  <c r="F118" i="1"/>
  <c r="F121" i="1"/>
  <c r="F124" i="1"/>
  <c r="F123" i="1"/>
  <c r="F117" i="1"/>
  <c r="F125" i="1"/>
  <c r="F120" i="1"/>
  <c r="F122" i="1"/>
  <c r="F114" i="1"/>
  <c r="F112" i="1"/>
  <c r="F116" i="1"/>
  <c r="F119" i="1"/>
  <c r="F126" i="1"/>
  <c r="C50" i="2"/>
  <c r="D50" i="2"/>
  <c r="D49" i="2" s="1"/>
  <c r="D56" i="2" s="1"/>
  <c r="D89" i="2"/>
  <c r="D90" i="2" s="1"/>
  <c r="E127" i="1" l="1"/>
  <c r="J190" i="1"/>
  <c r="D192" i="1"/>
  <c r="E190" i="1" s="1"/>
  <c r="F175" i="1"/>
  <c r="F176" i="1" s="1"/>
  <c r="D176" i="1"/>
  <c r="J176" i="1" s="1"/>
  <c r="F127" i="1"/>
  <c r="G127" i="1"/>
  <c r="D47" i="2"/>
  <c r="D48" i="2"/>
  <c r="D55" i="2" s="1"/>
  <c r="D103" i="2"/>
  <c r="D54" i="2" l="1"/>
  <c r="D57" i="2" s="1"/>
  <c r="D62" i="2"/>
  <c r="E185" i="1"/>
  <c r="E175" i="1"/>
  <c r="F118" i="2" s="1"/>
  <c r="F119" i="2" s="1"/>
  <c r="E174" i="1"/>
  <c r="E169" i="1"/>
  <c r="E170" i="1"/>
  <c r="E184" i="1"/>
  <c r="F17" i="2"/>
  <c r="J172" i="1"/>
  <c r="J127" i="1"/>
  <c r="F16" i="2"/>
  <c r="G149" i="1"/>
  <c r="J171" i="1" s="1"/>
  <c r="B99" i="2"/>
  <c r="I99" i="2" s="1"/>
  <c r="D93" i="2"/>
  <c r="D97" i="2" s="1"/>
  <c r="D27" i="9" l="1"/>
  <c r="D44" i="9" s="1"/>
  <c r="E44" i="9" s="1"/>
  <c r="E118" i="2"/>
  <c r="E119" i="2" s="1"/>
  <c r="D43" i="9"/>
  <c r="D28" i="9"/>
  <c r="E28" i="9" s="1"/>
  <c r="D46" i="9"/>
  <c r="D37" i="9"/>
  <c r="D33" i="9"/>
  <c r="D29" i="9"/>
  <c r="D41" i="9"/>
  <c r="D34" i="9"/>
  <c r="D40" i="9"/>
  <c r="D36" i="9"/>
  <c r="D38" i="9"/>
  <c r="D31" i="9"/>
  <c r="D35" i="9"/>
  <c r="E113" i="2"/>
  <c r="E8" i="16"/>
  <c r="E22" i="3"/>
  <c r="E23" i="3" s="1"/>
  <c r="F8" i="16"/>
  <c r="F22" i="3"/>
  <c r="E186" i="1"/>
  <c r="E172" i="1"/>
  <c r="F6" i="9"/>
  <c r="E129" i="1"/>
  <c r="F7" i="9"/>
  <c r="F27" i="9"/>
  <c r="F44" i="9" s="1"/>
  <c r="F113" i="2"/>
  <c r="F15" i="2"/>
  <c r="F14" i="2"/>
  <c r="F129" i="1"/>
  <c r="E176" i="1"/>
  <c r="D99" i="2"/>
  <c r="D105" i="2" s="1"/>
  <c r="D47" i="9" l="1"/>
  <c r="D39" i="9"/>
  <c r="D45" i="9"/>
  <c r="D42" i="9"/>
  <c r="E9" i="16"/>
  <c r="E10" i="16"/>
  <c r="F9" i="16"/>
  <c r="F10" i="16"/>
  <c r="D32" i="9"/>
  <c r="D30" i="9"/>
  <c r="F42" i="9"/>
  <c r="F35" i="9"/>
  <c r="F41" i="9"/>
  <c r="F38" i="9"/>
  <c r="F36" i="9"/>
  <c r="F33" i="9"/>
  <c r="F46" i="9"/>
  <c r="F40" i="9"/>
  <c r="F32" i="9"/>
  <c r="F47" i="9"/>
  <c r="F39" i="9"/>
  <c r="F37" i="9"/>
  <c r="F28" i="9"/>
  <c r="F45" i="9"/>
  <c r="F29" i="9"/>
  <c r="F34" i="9"/>
  <c r="F30" i="9"/>
  <c r="F43" i="9"/>
  <c r="F31" i="9"/>
  <c r="F23" i="3"/>
  <c r="F31" i="3"/>
  <c r="F30" i="3"/>
  <c r="F62" i="16"/>
  <c r="F43" i="16"/>
  <c r="F27" i="16"/>
  <c r="F11" i="16"/>
  <c r="F40" i="16"/>
  <c r="F24" i="16"/>
  <c r="F13" i="16"/>
  <c r="F41" i="16"/>
  <c r="F25" i="16"/>
  <c r="F54" i="16"/>
  <c r="F38" i="16"/>
  <c r="F22" i="16"/>
  <c r="F42" i="16"/>
  <c r="F55" i="16"/>
  <c r="F39" i="16"/>
  <c r="F23" i="16"/>
  <c r="F52" i="16"/>
  <c r="F36" i="16"/>
  <c r="F20" i="16"/>
  <c r="F16" i="16"/>
  <c r="F15" i="16"/>
  <c r="F53" i="16"/>
  <c r="F37" i="16"/>
  <c r="F21" i="16"/>
  <c r="F50" i="16"/>
  <c r="F34" i="16"/>
  <c r="F18" i="16"/>
  <c r="F32" i="16"/>
  <c r="F31" i="16"/>
  <c r="F45" i="16"/>
  <c r="F51" i="16"/>
  <c r="F35" i="16"/>
  <c r="F19" i="16"/>
  <c r="F48" i="16"/>
  <c r="F44" i="16"/>
  <c r="F26" i="16"/>
  <c r="F49" i="16"/>
  <c r="F33" i="16"/>
  <c r="F17" i="16"/>
  <c r="F46" i="16"/>
  <c r="F30" i="16"/>
  <c r="F14" i="16"/>
  <c r="F12" i="16"/>
  <c r="F47" i="16"/>
  <c r="F28" i="16"/>
  <c r="F29" i="16"/>
  <c r="E31" i="3"/>
  <c r="E30" i="3"/>
  <c r="E62" i="16"/>
  <c r="E45" i="16"/>
  <c r="E29" i="16"/>
  <c r="E13" i="16"/>
  <c r="E50" i="16"/>
  <c r="E34" i="16"/>
  <c r="E12" i="16"/>
  <c r="E43" i="16"/>
  <c r="E27" i="16"/>
  <c r="E11" i="16"/>
  <c r="E48" i="16"/>
  <c r="E32" i="16"/>
  <c r="E47" i="16"/>
  <c r="E41" i="16"/>
  <c r="E25" i="16"/>
  <c r="E24" i="16"/>
  <c r="E46" i="16"/>
  <c r="E30" i="16"/>
  <c r="E14" i="16"/>
  <c r="E55" i="16"/>
  <c r="E39" i="16"/>
  <c r="E23" i="16"/>
  <c r="E20" i="16"/>
  <c r="E44" i="16"/>
  <c r="E28" i="16"/>
  <c r="E15" i="16"/>
  <c r="E53" i="16"/>
  <c r="E37" i="16"/>
  <c r="E21" i="16"/>
  <c r="E16" i="16"/>
  <c r="E42" i="16"/>
  <c r="E26" i="16"/>
  <c r="E52" i="16"/>
  <c r="E51" i="16"/>
  <c r="E35" i="16"/>
  <c r="E19" i="16"/>
  <c r="E40" i="16"/>
  <c r="E22" i="16"/>
  <c r="E18" i="16"/>
  <c r="E36" i="16"/>
  <c r="E49" i="16"/>
  <c r="E33" i="16"/>
  <c r="E17" i="16"/>
  <c r="E54" i="16"/>
  <c r="E38" i="16"/>
  <c r="E31" i="16"/>
  <c r="F145" i="1"/>
  <c r="F141" i="1"/>
  <c r="F137" i="1"/>
  <c r="F133" i="1"/>
  <c r="F143" i="1"/>
  <c r="F144" i="1"/>
  <c r="F132" i="1"/>
  <c r="F146" i="1"/>
  <c r="F142" i="1"/>
  <c r="F138" i="1"/>
  <c r="F134" i="1"/>
  <c r="F139" i="1"/>
  <c r="F135" i="1"/>
  <c r="F140" i="1"/>
  <c r="F136" i="1"/>
  <c r="E140" i="1"/>
  <c r="E142" i="1"/>
  <c r="E137" i="1"/>
  <c r="E139" i="1"/>
  <c r="E136" i="1"/>
  <c r="E134" i="1"/>
  <c r="E133" i="1"/>
  <c r="E135" i="1"/>
  <c r="E132" i="1"/>
  <c r="E145" i="1"/>
  <c r="E138" i="1"/>
  <c r="E144" i="1"/>
  <c r="E146" i="1"/>
  <c r="E141" i="1"/>
  <c r="E143" i="1"/>
  <c r="F34" i="3" l="1"/>
  <c r="I23" i="3"/>
  <c r="I62" i="16"/>
  <c r="E34" i="3"/>
  <c r="E25" i="3"/>
  <c r="E56" i="16"/>
  <c r="F56" i="16"/>
  <c r="F64" i="16" s="1"/>
  <c r="F147" i="1"/>
  <c r="E147" i="1"/>
  <c r="E149" i="1" s="1"/>
  <c r="I56" i="16" l="1"/>
  <c r="E64" i="16"/>
  <c r="I64" i="16" s="1"/>
  <c r="J169" i="1"/>
  <c r="J174" i="1"/>
  <c r="J147" i="1"/>
  <c r="F149" i="1"/>
  <c r="J175" i="1" s="1"/>
  <c r="J170" i="1" l="1"/>
  <c r="J149" i="1"/>
  <c r="C7" i="10"/>
  <c r="C8" i="10" s="1"/>
  <c r="C9" i="10" s="1"/>
  <c r="C10" i="10" s="1"/>
  <c r="C11" i="10" s="1"/>
  <c r="D117" i="2"/>
  <c r="D116" i="2"/>
  <c r="D115" i="2"/>
  <c r="E117" i="2" l="1"/>
  <c r="F117" i="2"/>
  <c r="E115" i="2"/>
  <c r="F115" i="2"/>
  <c r="E116" i="2"/>
  <c r="F116" i="2"/>
  <c r="C12" i="10"/>
  <c r="C13" i="10" s="1"/>
  <c r="C14" i="10" s="1"/>
  <c r="E56" i="15"/>
  <c r="D56" i="15"/>
  <c r="C56" i="15"/>
  <c r="B42" i="14"/>
  <c r="F25" i="3"/>
  <c r="C15" i="10" l="1"/>
  <c r="C16" i="10" s="1"/>
  <c r="C17" i="10" s="1"/>
  <c r="C18" i="10" s="1"/>
  <c r="C19" i="10" s="1"/>
  <c r="C20" i="10" s="1"/>
  <c r="B126" i="2" s="1"/>
  <c r="E32" i="3"/>
  <c r="E36" i="3" s="1"/>
  <c r="D40" i="3"/>
  <c r="D61" i="2"/>
  <c r="D58" i="2"/>
  <c r="D102" i="2" s="1"/>
  <c r="D114" i="2" s="1"/>
  <c r="D120" i="2" l="1"/>
  <c r="E114" i="2"/>
  <c r="E120" i="2" s="1"/>
  <c r="E121" i="2" s="1"/>
  <c r="E122" i="2" s="1"/>
  <c r="F114" i="2"/>
  <c r="F120" i="2" s="1"/>
  <c r="F121" i="2" s="1"/>
  <c r="F122" i="2" s="1"/>
  <c r="D126" i="2"/>
  <c r="E126" i="2" s="1"/>
  <c r="F32" i="3"/>
  <c r="D106" i="2"/>
  <c r="D63" i="2"/>
  <c r="D121" i="2" l="1"/>
  <c r="D122" i="2" s="1"/>
  <c r="I32" i="3"/>
  <c r="F36" i="3"/>
  <c r="F130" i="2" l="1"/>
  <c r="C14" i="14" s="1"/>
  <c r="F28" i="15" s="1"/>
  <c r="F40" i="3"/>
  <c r="C15" i="14" l="1"/>
  <c r="F29" i="15" s="1"/>
  <c r="D127" i="2"/>
  <c r="C48" i="13"/>
  <c r="C49" i="13" s="1"/>
  <c r="F46" i="13"/>
  <c r="E46" i="13"/>
  <c r="I46" i="13" l="1"/>
  <c r="E127" i="2"/>
  <c r="D128" i="2"/>
  <c r="F48" i="13"/>
  <c r="F49" i="13" s="1"/>
  <c r="C19" i="14" s="1"/>
  <c r="F33" i="15" s="1"/>
  <c r="E48" i="13"/>
  <c r="E40" i="3"/>
  <c r="F48" i="9"/>
  <c r="F50" i="9" s="1"/>
  <c r="B15" i="14" l="1"/>
  <c r="E29" i="15" s="1"/>
  <c r="E54" i="15" s="1"/>
  <c r="I40" i="3"/>
  <c r="E128" i="2"/>
  <c r="I48" i="13"/>
  <c r="E49" i="13"/>
  <c r="I49" i="13" s="1"/>
  <c r="D130" i="2"/>
  <c r="D15" i="14" l="1"/>
  <c r="C29" i="15"/>
  <c r="C54" i="15" s="1"/>
  <c r="D29" i="15"/>
  <c r="D54" i="15" s="1"/>
  <c r="E130" i="2"/>
  <c r="B14" i="14" s="1"/>
  <c r="E6" i="15" s="1"/>
  <c r="B40" i="14"/>
  <c r="D28" i="15"/>
  <c r="F51" i="9"/>
  <c r="C16" i="14" s="1"/>
  <c r="F30" i="15" s="1"/>
  <c r="D14" i="14" l="1"/>
  <c r="C28" i="15"/>
  <c r="E8" i="15"/>
  <c r="D166" i="12"/>
  <c r="D18" i="14" s="1"/>
  <c r="C22" i="15" l="1"/>
  <c r="C14" i="15"/>
  <c r="F166" i="12"/>
  <c r="C18" i="14" s="1"/>
  <c r="F32" i="15" s="1"/>
  <c r="E166" i="12"/>
  <c r="B18" i="14" s="1"/>
  <c r="E32" i="15" l="1"/>
  <c r="D32" i="15"/>
  <c r="C32" i="15"/>
  <c r="C15" i="15"/>
  <c r="H15" i="15" s="1"/>
  <c r="E14" i="15"/>
  <c r="E15" i="15" s="1"/>
  <c r="H16" i="15" s="1"/>
  <c r="C23" i="15"/>
  <c r="H23" i="15" s="1"/>
  <c r="E28" i="15"/>
  <c r="H28" i="15" s="1"/>
  <c r="E22" i="15"/>
  <c r="E23" i="15" s="1"/>
  <c r="H24" i="15" s="1"/>
  <c r="E41" i="9" l="1"/>
  <c r="E45" i="9"/>
  <c r="E34" i="9"/>
  <c r="E42" i="9"/>
  <c r="E38" i="9"/>
  <c r="E40" i="9"/>
  <c r="E36" i="9"/>
  <c r="E30" i="9"/>
  <c r="E35" i="9"/>
  <c r="E29" i="9"/>
  <c r="E32" i="9"/>
  <c r="E33" i="9"/>
  <c r="E31" i="9"/>
  <c r="E39" i="9"/>
  <c r="E43" i="9"/>
  <c r="E37" i="9"/>
  <c r="E47" i="9"/>
  <c r="E46" i="9"/>
  <c r="D55" i="15" l="1"/>
  <c r="E55" i="15"/>
  <c r="E57" i="15"/>
  <c r="D57" i="15"/>
  <c r="C57" i="15"/>
  <c r="B43" i="14"/>
  <c r="C55" i="15"/>
  <c r="B41" i="14"/>
  <c r="D48" i="9"/>
  <c r="D50" i="9" s="1"/>
  <c r="D51" i="9" s="1"/>
  <c r="B16" i="14" s="1"/>
  <c r="E30" i="15" l="1"/>
  <c r="E34" i="15" s="1"/>
  <c r="D30" i="15"/>
  <c r="D34" i="15" s="1"/>
  <c r="D36" i="15" s="1"/>
  <c r="C30" i="15"/>
  <c r="C34" i="15" s="1"/>
  <c r="D16" i="14"/>
  <c r="D17" i="14" s="1"/>
  <c r="C17" i="14" s="1"/>
  <c r="F31" i="15" s="1"/>
  <c r="E58" i="15" l="1"/>
  <c r="E59" i="15" s="1"/>
  <c r="E36" i="15"/>
  <c r="E39" i="15" s="1"/>
  <c r="E42" i="15" s="1"/>
  <c r="C64" i="15"/>
  <c r="C58" i="15"/>
  <c r="C59" i="15" s="1"/>
  <c r="C36" i="15"/>
  <c r="C39" i="15" s="1"/>
  <c r="C42" i="15" s="1"/>
  <c r="D58" i="15"/>
  <c r="D59" i="15" s="1"/>
  <c r="E64" i="15"/>
  <c r="D64" i="15"/>
  <c r="D39" i="15"/>
  <c r="B20" i="14"/>
  <c r="A38" i="15"/>
  <c r="F34" i="15"/>
  <c r="B23" i="14" l="1"/>
  <c r="B26" i="14" s="1"/>
  <c r="D26" i="14" s="1"/>
  <c r="B50" i="14"/>
  <c r="H64" i="15" s="1"/>
  <c r="B44" i="14"/>
  <c r="B45" i="14" s="1"/>
  <c r="C43" i="15"/>
  <c r="C47" i="15" s="1"/>
  <c r="F43" i="15"/>
  <c r="E43" i="15"/>
  <c r="D42" i="15"/>
  <c r="D43" i="15"/>
  <c r="A25" i="14"/>
  <c r="C20" i="14"/>
  <c r="C30" i="14" s="1"/>
  <c r="D30" i="14" s="1"/>
  <c r="D33" i="14" s="1"/>
  <c r="D34" i="14" l="1"/>
  <c r="E46" i="15"/>
  <c r="E47" i="15"/>
  <c r="E50" i="15" s="1"/>
  <c r="D46" i="15"/>
  <c r="D47" i="15"/>
  <c r="D50" i="15" s="1"/>
  <c r="C50" i="15"/>
  <c r="C46" i="15"/>
  <c r="D23" i="14"/>
  <c r="D20" i="14"/>
  <c r="H50" i="15" l="1"/>
  <c r="B29" i="14"/>
  <c r="H34" i="15"/>
  <c r="D29" i="14" l="1"/>
  <c r="F46" i="15" l="1"/>
  <c r="C3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0" authorId="0" shapeId="0" xr:uid="{9344E16D-FBE2-4C36-8C45-4985B768D14D}">
      <text>
        <r>
          <rPr>
            <sz val="9"/>
            <color indexed="81"/>
            <rFont val="Segoe UI"/>
            <family val="2"/>
          </rPr>
          <t>Höhe der durchschnittlichen angemessenen tatsächlichen Aufwendungen für die 
Warmmiete eines Einpersonenhaushalts in der jeweiligen Kommune (§ 45a SGB XII)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D7" authorId="0" shapeId="0" xr:uid="{00000000-0006-0000-0200-000001000000}">
      <text>
        <r>
          <rPr>
            <sz val="9"/>
            <color indexed="81"/>
            <rFont val="Tahoma"/>
            <family val="2"/>
          </rPr>
          <t>Beispielhafte Aufzählung: Siehe Ausfüllhilfe Anhang A</t>
        </r>
      </text>
    </comment>
    <comment ref="D68" authorId="0" shapeId="0" xr:uid="{00000000-0006-0000-0200-000002000000}">
      <text>
        <r>
          <rPr>
            <sz val="9"/>
            <color indexed="81"/>
            <rFont val="Tahoma"/>
            <family val="2"/>
          </rPr>
          <t>Beispielhafte Aufzählung: Siehe Ausfüllhilfe Anhang A</t>
        </r>
      </text>
    </comment>
    <comment ref="D93" authorId="0" shapeId="0" xr:uid="{00000000-0006-0000-0200-000003000000}">
      <text>
        <r>
          <rPr>
            <sz val="9"/>
            <color indexed="81"/>
            <rFont val="Tahoma"/>
            <family val="2"/>
          </rPr>
          <t>Beispielhafte Aufzählung: Siehe Ausfüllhilfe Anhang A</t>
        </r>
      </text>
    </comment>
    <comment ref="A109" authorId="0" shapeId="0" xr:uid="{00000000-0006-0000-0200-000004000000}">
      <text>
        <r>
          <rPr>
            <sz val="9"/>
            <color indexed="81"/>
            <rFont val="Tahoma"/>
            <family val="2"/>
          </rPr>
          <t>Beispielhafte Aufzählung: Siehe Ausfüllhilfe Anhang A</t>
        </r>
      </text>
    </comment>
    <comment ref="A129" authorId="0" shapeId="0" xr:uid="{00000000-0006-0000-0200-000005000000}">
      <text>
        <r>
          <rPr>
            <sz val="9"/>
            <color indexed="81"/>
            <rFont val="Tahoma"/>
            <family val="2"/>
          </rPr>
          <t>Beispielhafte Aufzählung: Siehe Ausfüllhilfe Anhang 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A52" authorId="0" shapeId="0" xr:uid="{00000000-0006-0000-0300-000002000000}">
      <text>
        <r>
          <rPr>
            <sz val="9"/>
            <color indexed="81"/>
            <rFont val="Tahoma"/>
            <family val="2"/>
          </rPr>
          <t xml:space="preserve">Sofern keine Aufteilung der AHK nach Kostengruppen ermittelbar ist, kann für Gebäude, die ab 2005 in Betrieb genommen wurden, statt der gestaffelten AfA-Sätze (Gebäude 2,0%, technische Anlagen 6,7% und Außenanlagen 4%) ein einheitlicher AfA-Satz von 3,33% angesetzt werden. Das KdU-Tool berechnet dies automatisiert, wenn Sie in Feld D20 ein "x" setzen.
Für Gebäude, die vor dem 01.01.2005 in Betrieb genommen wurden, wird eine einheitliche Abschreibung über alle Kostengruppen in Höhe von 2,45% angesetzt.
Das Tool berechnet dies automatisch in Abhängigkeit von dem Jahr der Inbetriebnahme, das Sie im Reiter Stammdaten Feld B8 eingetragen haben. Bitte füllen Sie dieses Feld auf jeden Fall aus.
</t>
        </r>
      </text>
    </comment>
    <comment ref="C93" authorId="0" shapeId="0" xr:uid="{00000000-0006-0000-0300-000003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95" authorId="0" shapeId="0" xr:uid="{00000000-0006-0000-0300-000004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96" authorId="0" shapeId="0" xr:uid="{00000000-0006-0000-0300-000005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B110" authorId="0" shapeId="0" xr:uid="{00000000-0006-0000-0300-000006000000}">
      <text>
        <r>
          <rPr>
            <sz val="9"/>
            <color indexed="81"/>
            <rFont val="Tahoma"/>
            <family val="2"/>
          </rPr>
          <t>Hinterlegt ist die Auslastung gem. Schiedsstelle SGB XII Stand März 2016. Für Kurzzeit-Unterbringung ist hier ggfs eine realistische niedrigere Auslastung anzusetzen (siehe (§ 57b Abs. 5 Buchstabe b des Landesrahmenvertrags).</t>
        </r>
      </text>
    </comment>
    <comment ref="D118" authorId="0" shapeId="0" xr:uid="{AAF0627E-6158-4126-BA93-DE0696C9F279}">
      <text>
        <r>
          <rPr>
            <sz val="9"/>
            <color indexed="81"/>
            <rFont val="Segoe UI"/>
            <family val="2"/>
          </rPr>
          <t>Da der Alt-IK sich immer ausschließlich auf den Heimbereich bezieht und keine Anteile außerhalb Heimbereich enthalten kann, wird er auch grundsätzlich nach dem Flächen-Schlüssel innerhalb Heimbereich aufgeteilt, auch wenn evtl. zusätzliche Investitionskosten nur für das Gesamtgebäude vorliegen und diese deshalb mit dem Geamtschlüssel aufgeteilt werden.</t>
        </r>
      </text>
    </comment>
    <comment ref="D120" authorId="0" shapeId="0" xr:uid="{00000000-0006-0000-0300-000007000000}">
      <text>
        <r>
          <rPr>
            <b/>
            <sz val="9"/>
            <color indexed="81"/>
            <rFont val="Tahoma"/>
            <family val="2"/>
          </rPr>
          <t>Berechnung auf Basis der Ist-Kosten</t>
        </r>
        <r>
          <rPr>
            <sz val="9"/>
            <color indexed="81"/>
            <rFont val="Tahoma"/>
            <family val="2"/>
          </rPr>
          <t xml:space="preserve">
Wurde "x" in Feld D6 gesetzt, wird hier die sich ergebende Kaltmiete pro Tag ausgegeben und anschließend in einen Monatsmiete umgerechnet.
</t>
        </r>
        <r>
          <rPr>
            <b/>
            <sz val="9"/>
            <color indexed="81"/>
            <rFont val="Tahoma"/>
            <family val="2"/>
          </rPr>
          <t>Berechnung mit Alt-IK:</t>
        </r>
        <r>
          <rPr>
            <sz val="9"/>
            <color indexed="81"/>
            <rFont val="Tahoma"/>
            <family val="2"/>
          </rPr>
          <t xml:space="preserve">
Sofern die Anschaffungs- und Herstellkosten nicht mehr ermittelbar sind und deshalb in Feld D8 ein "x" gesetzt wurde, wird hier der bisherige IK-Satz ausgewiesen und in eine Monatsmiete umgerechnet.
Da dieser bereits einen Anteil für Ausstattung enthällt, ist Blatt 
"D Ausstattung" dann nicht mehr auszufüllen.
</t>
        </r>
        <r>
          <rPr>
            <b/>
            <sz val="9"/>
            <color indexed="81"/>
            <rFont val="Tahoma"/>
            <family val="2"/>
          </rPr>
          <t>Sanierungs-Fälle:</t>
        </r>
        <r>
          <rPr>
            <sz val="9"/>
            <color indexed="81"/>
            <rFont val="Tahoma"/>
            <family val="2"/>
          </rPr>
          <t xml:space="preserve">
Fließt in Sanierungsfällen neben neuen Investitionskosten auch ein Anteil aus dem bisherigen IK-Satz in die Berechnung ein ("x" in Feld D10, anteiliger Alt-IK eingetragen in Feld F10), so wird hier die Summe aus alle Bestandteilen angezeigt.</t>
        </r>
      </text>
    </comment>
    <comment ref="B126" authorId="0" shapeId="0" xr:uid="{00000000-0006-0000-0300-000008000000}">
      <text>
        <r>
          <rPr>
            <sz val="9"/>
            <color indexed="81"/>
            <rFont val="Tahoma"/>
            <family val="2"/>
          </rPr>
          <t>Bitte achten Sie darauf, im Reiter "Anlage Inflationsraten" die Werte auf den Stand des aktuellen Jahres zu aktualisieren.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Schyra, Matthias</author>
  </authors>
  <commentList>
    <comment ref="C43" authorId="0" shapeId="0" xr:uid="{00000000-0006-0000-0400-000001000000}">
      <text>
        <r>
          <rPr>
            <b/>
            <sz val="8"/>
            <color indexed="81"/>
            <rFont val="Tahoma"/>
            <family val="2"/>
          </rPr>
          <t>Administrator:</t>
        </r>
        <r>
          <rPr>
            <sz val="8"/>
            <color indexed="81"/>
            <rFont val="Tahoma"/>
            <family val="2"/>
          </rPr>
          <t xml:space="preserve">
durchschnittlicher Zins
</t>
        </r>
      </text>
    </comment>
    <comment ref="C46" authorId="1" shapeId="0" xr:uid="{00000000-0006-0000-0400-000002000000}">
      <text>
        <r>
          <rPr>
            <sz val="9"/>
            <color indexed="81"/>
            <rFont val="Tahoma"/>
            <family val="2"/>
          </rPr>
          <t>wie EK-Zins Gebäude Kaltmiete Reiter B_1, wird per Formel übernommen.</t>
        </r>
      </text>
    </comment>
    <comment ref="C48" authorId="1" shapeId="0" xr:uid="{00000000-0006-0000-0400-000003000000}">
      <text>
        <r>
          <rPr>
            <sz val="9"/>
            <color indexed="81"/>
            <rFont val="Tahoma"/>
            <family val="2"/>
          </rPr>
          <t xml:space="preserve">wie EK-Zins Gebäude Kaltmiete Reiter B_1, wird per Formel übernommen.
</t>
        </r>
      </text>
    </comment>
    <comment ref="C49" authorId="1" shapeId="0" xr:uid="{00000000-0006-0000-0400-000004000000}">
      <text>
        <r>
          <rPr>
            <sz val="9"/>
            <color indexed="81"/>
            <rFont val="Tahoma"/>
            <family val="2"/>
          </rPr>
          <t xml:space="preserve">wie EK-Zins Gebäude Kaltmiete Reiter B_1, wird per Formel übernommen.
</t>
        </r>
      </text>
    </comment>
    <comment ref="C134" authorId="0" shapeId="0" xr:uid="{00000000-0006-0000-0400-000005000000}">
      <text>
        <r>
          <rPr>
            <b/>
            <sz val="8"/>
            <color indexed="81"/>
            <rFont val="Tahoma"/>
            <family val="2"/>
          </rPr>
          <t>Administrator:</t>
        </r>
        <r>
          <rPr>
            <sz val="8"/>
            <color indexed="81"/>
            <rFont val="Tahoma"/>
            <family val="2"/>
          </rPr>
          <t xml:space="preserve">
durchschnittlicher Zins
</t>
        </r>
      </text>
    </comment>
    <comment ref="C141" authorId="0" shapeId="0" xr:uid="{00000000-0006-0000-0400-000006000000}">
      <text>
        <r>
          <rPr>
            <b/>
            <sz val="8"/>
            <color indexed="81"/>
            <rFont val="Tahoma"/>
            <family val="2"/>
          </rPr>
          <t>Administrator:</t>
        </r>
        <r>
          <rPr>
            <sz val="8"/>
            <color indexed="81"/>
            <rFont val="Tahoma"/>
            <family val="2"/>
          </rPr>
          <t xml:space="preserve">
durchschnittlicher Zins
</t>
        </r>
      </text>
    </comment>
    <comment ref="F158" authorId="1" shapeId="0" xr:uid="{00000000-0006-0000-0400-000007000000}">
      <text>
        <r>
          <rPr>
            <sz val="9"/>
            <color indexed="81"/>
            <rFont val="Tahoma"/>
            <family val="2"/>
          </rPr>
          <t>Kosten der Sonder-Infrastruktur werden zu 100% dem Fachleistungsanteil zugeordnet, da sie im Assistenzbedarf der Leistungsberechtigten begründet liegen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8" authorId="0" shapeId="0" xr:uid="{5246BF12-C0DF-4970-A2B7-611B1B72D3D8}">
      <text>
        <r>
          <rPr>
            <sz val="9"/>
            <color indexed="81"/>
            <rFont val="Segoe UI"/>
            <family val="2"/>
          </rPr>
          <t>Gemeint ist das Jahr, für das zuletzt Einzelwerte geeint wurden.</t>
        </r>
      </text>
    </comment>
    <comment ref="A41" authorId="0" shapeId="0" xr:uid="{D65274C7-90A4-46E8-84D4-7C3B6BD9B472}">
      <text>
        <r>
          <rPr>
            <b/>
            <sz val="9"/>
            <color indexed="81"/>
            <rFont val="Segoe UI"/>
            <family val="2"/>
          </rPr>
          <t xml:space="preserve">Bitte ändern Sie die Positionierung der Zeile für Telekommunikation u.a. </t>
        </r>
        <r>
          <rPr>
            <b/>
            <u/>
            <sz val="9"/>
            <color indexed="81"/>
            <rFont val="Segoe UI"/>
            <family val="2"/>
          </rPr>
          <t>nicht</t>
        </r>
        <r>
          <rPr>
            <b/>
            <sz val="9"/>
            <color indexed="81"/>
            <rFont val="Segoe UI"/>
            <family val="2"/>
          </rPr>
          <t xml:space="preserve"> manuell ab</t>
        </r>
        <r>
          <rPr>
            <sz val="9"/>
            <color indexed="81"/>
            <rFont val="Segoe UI"/>
            <family val="2"/>
          </rPr>
          <t>, da das Tool aus diesem Wert die Zuschläge für Telekommunikation sowie Zugang zu Rundfunk, Fernsehen, Internet  automatisiert berechnet und in der Ergebnisübersicht unter den Zuschlägen gem. §42a Absatz 5 Satz 4 Nr.1-4 SGB XII ausweist.</t>
        </r>
      </text>
    </comment>
    <comment ref="A44" authorId="0" shapeId="0" xr:uid="{00000000-0006-0000-0500-000002000000}">
      <text>
        <r>
          <rPr>
            <b/>
            <sz val="9"/>
            <color indexed="81"/>
            <rFont val="Tahoma"/>
            <family val="2"/>
          </rPr>
          <t xml:space="preserve">Bitte ändern Sie die Positionierung der Zeile für Strom </t>
        </r>
        <r>
          <rPr>
            <b/>
            <u/>
            <sz val="9"/>
            <color indexed="81"/>
            <rFont val="Tahoma"/>
            <family val="2"/>
          </rPr>
          <t>nicht</t>
        </r>
        <r>
          <rPr>
            <b/>
            <sz val="9"/>
            <color indexed="81"/>
            <rFont val="Tahoma"/>
            <family val="2"/>
          </rPr>
          <t xml:space="preserve"> manuell ab</t>
        </r>
        <r>
          <rPr>
            <sz val="9"/>
            <color indexed="81"/>
            <rFont val="Tahoma"/>
            <family val="2"/>
          </rPr>
          <t>, da das Tool aus diesen Werten den Zuschlag für Haushaltsstrom automatisiert berechnet und in der Ergebnisübersicht unter den Zuschlägen 
gem. §42a Absatz 5 Satz 4 Nr.1-4 SGB XII ausweist.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3" authorId="0" shapeId="0" xr:uid="{C1A400F7-BF99-4977-95A4-7644EF156437}">
      <text>
        <r>
          <rPr>
            <sz val="9"/>
            <color indexed="81"/>
            <rFont val="Segoe UI"/>
            <family val="2"/>
          </rPr>
          <t>Gemeint ist das Jahr, für das zuletzt Einzelwerte geeint wurden.</t>
        </r>
      </text>
    </comment>
    <comment ref="F22" authorId="0" shapeId="0" xr:uid="{00000000-0006-0000-0600-000001000000}">
      <text>
        <r>
          <rPr>
            <sz val="9"/>
            <color indexed="81"/>
            <rFont val="Tahoma"/>
            <family val="2"/>
          </rPr>
          <t>Nebenkosten der Sonderinfrastruktur werden zu 100% dem Fachleistungsanteil zugeordnet, da das Vorhandesein solcher  Sonder-Infrastruktur im Assistenzbedarf der Leistungsberechtigten begründet liegt.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F8" authorId="0" shapeId="0" xr:uid="{C59126CB-0851-4BFE-8A4D-899753D3402E}">
      <text>
        <r>
          <rPr>
            <sz val="9"/>
            <color indexed="81"/>
            <rFont val="Segoe UI"/>
            <family val="2"/>
          </rPr>
          <t xml:space="preserve">Bitte tragen Sie in Zeile 8 in Feld C8 die Ausstattungspauschale aus der letzten Verhandlung ein, sowie  in Feld F8 das Jahr, in dem diese Pauschale </t>
        </r>
        <r>
          <rPr>
            <b/>
            <u/>
            <sz val="9"/>
            <color indexed="81"/>
            <rFont val="Segoe UI"/>
            <family val="2"/>
          </rPr>
          <t>erstmals</t>
        </r>
        <r>
          <rPr>
            <sz val="9"/>
            <color indexed="81"/>
            <rFont val="Segoe UI"/>
            <family val="2"/>
          </rPr>
          <t xml:space="preserve"> zum Ansatz kam.
Sofern in der letzten Verhandlung noch die seit Einführung des BTHG und bis 31.12.2024 geltende Ausstattungspauschale in Höhe von 6.000 € pro Platz zum Ansatz kam, tragen Sie bitte in Feld C8 die 6.000 € ein und im Feld F8 das Jahr 2020 (erste BTHG-Verhandlung) oder ggfs. das spätere Jahr der Eröffnung für spätere Erst-Verhandlungen. Es wird dann automatisch zum 01.01.2028 die dann gültige Pauschale angesetzt.
Bei erstmaliger Verhandlung müssen Sie Zeile 8 nicht ausfüllen. Es wird dann automatisch die aktuelle Ausstattungs-Pauschale angesetzt.</t>
        </r>
      </text>
    </comment>
    <comment ref="A16" authorId="0" shapeId="0" xr:uid="{82C0BC41-2F9B-497F-8DE4-6DA1ADF1DB2E}">
      <text>
        <r>
          <rPr>
            <sz val="9"/>
            <color indexed="81"/>
            <rFont val="Segoe UI"/>
            <family val="2"/>
          </rPr>
          <t>In Alt-IK-Sätzen aus der Zeit vor der BTHG-Umstellung betrug die Pauschale für Ausstattung pro Platz weniger als 6.000 €. Da der Alt-IK immer noch diesen - im Vergleich zur heute anerkennbaren Ausstattung - geringeren Ansatz enthält, wird die Differenz zusätzlich zum Alt-IK berücksichtigt.</t>
        </r>
      </text>
    </comment>
    <comment ref="C30" authorId="0" shapeId="0" xr:uid="{00000000-0006-0000-0700-000001000000}">
      <text>
        <r>
          <rPr>
            <sz val="9"/>
            <color indexed="81"/>
            <rFont val="Tahoma"/>
            <family val="2"/>
          </rPr>
          <t xml:space="preserve">wie EK-Zins Gebäude Kaltmiete Reiter B_1, wird per Formel übernommen.
</t>
        </r>
      </text>
    </comment>
  </commentList>
</comments>
</file>

<file path=xl/sharedStrings.xml><?xml version="1.0" encoding="utf-8"?>
<sst xmlns="http://schemas.openxmlformats.org/spreadsheetml/2006/main" count="701" uniqueCount="379">
  <si>
    <t>Raum Nr.</t>
  </si>
  <si>
    <t>Raumbezeichnung</t>
  </si>
  <si>
    <t>Summe Gesamtgebäude</t>
  </si>
  <si>
    <t xml:space="preserve">   davon Fachleistungsflächen</t>
  </si>
  <si>
    <t>Aufteilung:</t>
  </si>
  <si>
    <t>Kontrolle</t>
  </si>
  <si>
    <t>Gesamt-Schlüssel:</t>
  </si>
  <si>
    <t>Fachleistungsfläche</t>
  </si>
  <si>
    <t>Miete/Pacht/Leasing</t>
  </si>
  <si>
    <t>Summe</t>
  </si>
  <si>
    <t>Zusammenfassung</t>
  </si>
  <si>
    <t>AFA Gebäude und Zubehör</t>
  </si>
  <si>
    <t>AFA Ausstattung</t>
  </si>
  <si>
    <t>Instandhaltung</t>
  </si>
  <si>
    <t>Finanzierungskosten</t>
  </si>
  <si>
    <t>Öffnungstage</t>
  </si>
  <si>
    <t>Plätze</t>
  </si>
  <si>
    <t>Auslastung</t>
  </si>
  <si>
    <t>Divisor</t>
  </si>
  <si>
    <t>Anteil
Fachleistung</t>
  </si>
  <si>
    <t>Anteil 
Pers. Wohnraum</t>
  </si>
  <si>
    <t>Schritt A: Flächenschlüssel</t>
  </si>
  <si>
    <t>Schritt D: Ausstattungskosten</t>
  </si>
  <si>
    <t>Abschreibung</t>
  </si>
  <si>
    <t>Zinsen</t>
  </si>
  <si>
    <t>Miete/Leasing</t>
  </si>
  <si>
    <t>Müllabfuhr</t>
  </si>
  <si>
    <t>Ungezieferbekämpfung</t>
  </si>
  <si>
    <t>Gartenpflege</t>
  </si>
  <si>
    <t>Beleuchtung (Außen-, Flurbeleuchtung)</t>
  </si>
  <si>
    <t>Schornsteinfegergebühren</t>
  </si>
  <si>
    <t>Sach- und Haftpflichtversicherungen</t>
  </si>
  <si>
    <t>Hausmeisterkosten</t>
  </si>
  <si>
    <t>Kosten für die Gemeinschaftsantenne</t>
  </si>
  <si>
    <t>Kosten für Breitbandkabelanschluss</t>
  </si>
  <si>
    <t>Kosten für Trinkwasseruntersuchung</t>
  </si>
  <si>
    <t>diese Felder sind auszufüllen</t>
  </si>
  <si>
    <t>Grundsteuer</t>
  </si>
  <si>
    <t xml:space="preserve">Wasser-/Abwasser, Warmwasser </t>
  </si>
  <si>
    <t>Betrieb und Wartung der Wasserversorgungsanlagen</t>
  </si>
  <si>
    <t>Betrieb / Wartung der Wärmeversorgungsanlagen</t>
  </si>
  <si>
    <t>Betrieb / Wartung Aufzuganlagen</t>
  </si>
  <si>
    <t>Straßenreinigung</t>
  </si>
  <si>
    <t>Wärme</t>
  </si>
  <si>
    <t>Sonstige Betriebskosten, 
z.B. Hygiene- und Legionellenprüfung</t>
  </si>
  <si>
    <t>Summe Flächen außerhalb Heimbereich</t>
  </si>
  <si>
    <t xml:space="preserve">   davon freie Flächen außerhalb Heim</t>
  </si>
  <si>
    <t>freie Flächen</t>
  </si>
  <si>
    <t>Schlüssel innerhalb Heimbereich</t>
  </si>
  <si>
    <t>pro Tag</t>
  </si>
  <si>
    <t>Anschaffungskosten nach Kostengruppen</t>
  </si>
  <si>
    <t>Kostengruppe 100</t>
  </si>
  <si>
    <t>Grundstück</t>
  </si>
  <si>
    <t>Kostengruppe 300</t>
  </si>
  <si>
    <t>Bauwerk - Baukonstruktion</t>
  </si>
  <si>
    <t>Kostengruppe 400</t>
  </si>
  <si>
    <t>Bauwerk - Technische Anlagen</t>
  </si>
  <si>
    <t>Kostengruppe 500</t>
  </si>
  <si>
    <t>Außenanlagen</t>
  </si>
  <si>
    <t>Kostengruppe 600</t>
  </si>
  <si>
    <t>Ausstattung</t>
  </si>
  <si>
    <t>Summe Anschaffungskosten</t>
  </si>
  <si>
    <t>Zuschuss aufgeteilt auf Kostengruppen</t>
  </si>
  <si>
    <t>Zuschüsse</t>
  </si>
  <si>
    <t>Abschreibungen unter Berücksichtigung der Zuschüsse</t>
  </si>
  <si>
    <t>Summe:</t>
  </si>
  <si>
    <t>Summe ohne Ausstattung</t>
  </si>
  <si>
    <t>Ermittlung der durchschnittlichen Afa (ohne Ausstattung und Zuschuss)</t>
  </si>
  <si>
    <t>Kosten ohne Ausstattung und Grdstk.</t>
  </si>
  <si>
    <t>Durchschnittliche Abschreibung Gebäude:</t>
  </si>
  <si>
    <t>x</t>
  </si>
  <si>
    <t>Instandhaltungen</t>
  </si>
  <si>
    <t>Gebäude + Inventar AHK</t>
  </si>
  <si>
    <t>Prozentsatz</t>
  </si>
  <si>
    <t>Summe Instandhaltung</t>
  </si>
  <si>
    <t>Position 1</t>
  </si>
  <si>
    <t>Position 2</t>
  </si>
  <si>
    <t>Position 3</t>
  </si>
  <si>
    <t>Miete/Pacht/Erbbau für Gebäude oder Grundstück</t>
  </si>
  <si>
    <t>Summe Miete/Pacht</t>
  </si>
  <si>
    <t>Finanzierung</t>
  </si>
  <si>
    <t>Fremdmittel</t>
  </si>
  <si>
    <t>FK-Zinskosten</t>
  </si>
  <si>
    <t>Eigenmittel</t>
  </si>
  <si>
    <t>EK-Zinskosten</t>
  </si>
  <si>
    <t>Summe Finanzierung</t>
  </si>
  <si>
    <t>EM-Ersatz (z.B. Aktion Mensch)</t>
  </si>
  <si>
    <t>Kapitalmarktdarlehen 1</t>
  </si>
  <si>
    <t>Kapitalmarktdarlehen 2</t>
  </si>
  <si>
    <t>Position 4</t>
  </si>
  <si>
    <t>pro Monat</t>
  </si>
  <si>
    <t>pro Jahr</t>
  </si>
  <si>
    <t xml:space="preserve">Mietberechnung nach BTHG </t>
  </si>
  <si>
    <t>Art der Nebenkosten</t>
  </si>
  <si>
    <t>Flächenschlüssel</t>
  </si>
  <si>
    <t>Flächen des Persönlichen Wohnraums inkl. Gemeinschaftsflächen:</t>
  </si>
  <si>
    <t>Fachleistungsflächen</t>
  </si>
  <si>
    <t>Außerhalb des Heimbereichs genutzte Flächen</t>
  </si>
  <si>
    <t>Summe Flächen persönlicher Wohnraum</t>
  </si>
  <si>
    <t>Ebene/ 
Geschoss</t>
  </si>
  <si>
    <t>Anteil Pers. Wohnraum</t>
  </si>
  <si>
    <t xml:space="preserve">Fläche m²                       </t>
  </si>
  <si>
    <t>Summe Fachleistungsflächen</t>
  </si>
  <si>
    <t>Summe Gebäude</t>
  </si>
  <si>
    <t>Summe direkt zuordenbare Flächen</t>
  </si>
  <si>
    <t>Flächen Zusammenfassung und Schlüsselberechnung</t>
  </si>
  <si>
    <t>Anteil</t>
  </si>
  <si>
    <t>Anteil
freie Flächen</t>
  </si>
  <si>
    <t>Anteilsberechnung mit Aufteilung der KG 700 auf KG 300-500</t>
  </si>
  <si>
    <t>Summe Anschaffungswerte</t>
  </si>
  <si>
    <t>Summe p.a.</t>
  </si>
  <si>
    <t>2. Zusätzlich zu vergütende Leistungen:</t>
  </si>
  <si>
    <t>p.a.         p.M.:</t>
  </si>
  <si>
    <t>Kaltmiete gesamt pro Monat und Bewohner</t>
  </si>
  <si>
    <t>Nebenkosten</t>
  </si>
  <si>
    <t>Summe Anschaffungskosten Gebäude (ohne Grdst.)</t>
  </si>
  <si>
    <t>Zuschläge pro Bewohner und Monat</t>
  </si>
  <si>
    <t>KG 400
Techn. Anlagen</t>
  </si>
  <si>
    <t>KG 500
Außenanlagen</t>
  </si>
  <si>
    <t>Summe
gesamt</t>
  </si>
  <si>
    <t>Schwimmbad</t>
  </si>
  <si>
    <t>Turnhalle</t>
  </si>
  <si>
    <t>Sportplätze</t>
  </si>
  <si>
    <t>Summe fachliche Infrastruktur</t>
  </si>
  <si>
    <t>üblicherweise öffentliche Infrastruktur / Erschließung:</t>
  </si>
  <si>
    <t>Summe öffentliche Infrastruktur / Erschließung:</t>
  </si>
  <si>
    <t>fachliche Infrastruktur</t>
  </si>
  <si>
    <t>etc.</t>
  </si>
  <si>
    <t>Straßen und Gehwege</t>
  </si>
  <si>
    <t>Wasser und Abwasser Netz</t>
  </si>
  <si>
    <t>Parkplätze</t>
  </si>
  <si>
    <t>Straßenbeleuchtung und -Beschilderung</t>
  </si>
  <si>
    <t>Feuerwehr</t>
  </si>
  <si>
    <t>KG 600
Ausstattung</t>
  </si>
  <si>
    <t>Grünanlagen und Spielplätze</t>
  </si>
  <si>
    <t>Daten- und Telefonnetze</t>
  </si>
  <si>
    <t>KG 100 
Grundstück</t>
  </si>
  <si>
    <t>KG 300 
Gebäude</t>
  </si>
  <si>
    <t>Summe gesamt</t>
  </si>
  <si>
    <t>Schritt B_1: Gebäude Kaltmiete</t>
  </si>
  <si>
    <t>Bewohner gesamt</t>
  </si>
  <si>
    <t>Schritt C_1: Nebenkosten</t>
  </si>
  <si>
    <t>Strom</t>
  </si>
  <si>
    <r>
      <t>Zuordnung</t>
    </r>
    <r>
      <rPr>
        <sz val="11"/>
        <color theme="1"/>
        <rFont val="Calibri"/>
        <family val="2"/>
        <scheme val="minor"/>
      </rPr>
      <t xml:space="preserve"> zu Kostengruppen:</t>
    </r>
  </si>
  <si>
    <t>Einrichtung / Standort:</t>
  </si>
  <si>
    <t>Anzahl Plätze</t>
  </si>
  <si>
    <t>aktueller Kostensatz</t>
  </si>
  <si>
    <t>Aufteilungsschlüssel</t>
  </si>
  <si>
    <t>Kapitalmarktdarlehen 3</t>
  </si>
  <si>
    <t>Aufteilung nach Flächenschlüssel</t>
  </si>
  <si>
    <t>Wartung und Aufschaltung Brandmeldeanlagen</t>
  </si>
  <si>
    <t>Basis für Verzinsung:</t>
  </si>
  <si>
    <t>Zinssatz</t>
  </si>
  <si>
    <t>davon Eigenmittel</t>
  </si>
  <si>
    <t>davon Fremdmittel</t>
  </si>
  <si>
    <t>Anschaffungs- und Herstellkosten in €</t>
  </si>
  <si>
    <t>jährlicher Aufwand  €</t>
  </si>
  <si>
    <t>gemietete Ausstattungen (z.B. Telefon, KFZ, Kopierer, EDV, Software,...)</t>
  </si>
  <si>
    <t>Betrag €</t>
  </si>
  <si>
    <t>nachrichtlich: pro Person und</t>
  </si>
  <si>
    <t>Monat</t>
  </si>
  <si>
    <t>Anschaffungs
-kosten in €</t>
  </si>
  <si>
    <t>Geringw. Wirtsch.g (GWG)</t>
  </si>
  <si>
    <t>Divisor (Platzzahl * 12 Monate * Auslastung)</t>
  </si>
  <si>
    <t xml:space="preserve">Summe Mischflächen Heimbereich </t>
  </si>
  <si>
    <t xml:space="preserve">(Anteil der persönlichen Wohnfläche inkl. Gemeinschaftsflächen ohne auf anteilige Mischflächen wie Treppenhäuser </t>
  </si>
  <si>
    <t>oder Haustechnik entfallenden Kosten):</t>
  </si>
  <si>
    <t>Anteil an 
Gesamt-Flächen</t>
  </si>
  <si>
    <t>Anteil an 
persönl. Wohnraum</t>
  </si>
  <si>
    <t>persönliche Wohnfläche inkl. Gemeinschaftsflächen</t>
  </si>
  <si>
    <t>anteilige Allgemeinflächen</t>
  </si>
  <si>
    <t>anteilige Allgemeinfläche</t>
  </si>
  <si>
    <t>Anteil Fachleistung</t>
  </si>
  <si>
    <r>
      <t>Schlüssel zur Ermittlung des</t>
    </r>
    <r>
      <rPr>
        <b/>
        <i/>
        <sz val="11"/>
        <rFont val="Calibri"/>
        <family val="2"/>
        <scheme val="minor"/>
      </rPr>
      <t xml:space="preserve"> Haushaltsstroms </t>
    </r>
    <r>
      <rPr>
        <i/>
        <sz val="11"/>
        <rFont val="Calibri"/>
        <family val="2"/>
        <scheme val="minor"/>
      </rPr>
      <t>sowie der</t>
    </r>
    <r>
      <rPr>
        <b/>
        <i/>
        <sz val="11"/>
        <rFont val="Calibri"/>
        <family val="2"/>
        <scheme val="minor"/>
      </rPr>
      <t xml:space="preserve"> Instandhaltung von persönlichen Räumlichkeiten und den </t>
    </r>
  </si>
  <si>
    <t>Ergebnis-Übersicht</t>
  </si>
  <si>
    <t>Miete persönliche 
Wohnfläche</t>
  </si>
  <si>
    <t>Investitionsbetrag Fachleistungen</t>
  </si>
  <si>
    <t>Flächen in m² pro Platz</t>
  </si>
  <si>
    <t>ohne Mischflächen</t>
  </si>
  <si>
    <t>mit anteiligen Mischflächen</t>
  </si>
  <si>
    <t>Gebäude-Kaltmiete</t>
  </si>
  <si>
    <t>Gesamt-Summe</t>
  </si>
  <si>
    <t>monatliche 
Warmmiete Mieter</t>
  </si>
  <si>
    <t>Anteil Grundsicherungsmiete</t>
  </si>
  <si>
    <t>(max 125% eines Ein-Personenhaushalts)</t>
  </si>
  <si>
    <t>Anteil Miete Eingliederungshilfe</t>
  </si>
  <si>
    <t>Anteil Investitionsbetrag</t>
  </si>
  <si>
    <t>Fachleistungsräume</t>
  </si>
  <si>
    <t>Summe Anteil</t>
  </si>
  <si>
    <t>Eingliederungshilfe</t>
  </si>
  <si>
    <t>gem. §42a Absatz 5 Satz 4 Nr.1-4 SGB XII (im Mietvertrag transparent auszuweisen):</t>
  </si>
  <si>
    <t>Zuschläge für Möblierung und Ausstattung mit Haushaltsgroßgeräten</t>
  </si>
  <si>
    <t>Zuschläge für Haushaltsstrom</t>
  </si>
  <si>
    <t xml:space="preserve">Zuschläge für Telekommunikation sowie Zugang zu Rundfunk, Fernsehen, Internet </t>
  </si>
  <si>
    <t>Aufteilungsschlüssel zentrale Dienste</t>
  </si>
  <si>
    <t>davon entfallen auf</t>
  </si>
  <si>
    <t>(nach Flächenschlüssel im Verhältnis der direkt zuordenbaren Flächen persönlicher Wohnraum, Fachleistungs-
flächen und Flächen außerhalb Heimbereich)</t>
  </si>
  <si>
    <t>Summe Mischflächen Gesamtgebäude</t>
  </si>
  <si>
    <t>(nach Flächenschlüssel im Verhältnis der direkt zuordenbaren Flächen persönlicher Wohnraum, Fachleistungs-
flächen)</t>
  </si>
  <si>
    <t>Schlüssel im</t>
  </si>
  <si>
    <t>Heimbereich</t>
  </si>
  <si>
    <t>Aufteilung Mischflächen Gesamt-Gebäude</t>
  </si>
  <si>
    <t>Aufteilung Mischflächen Innerhalb Heimbereich</t>
  </si>
  <si>
    <r>
      <t xml:space="preserve">Mischflächen </t>
    </r>
    <r>
      <rPr>
        <b/>
        <u/>
        <sz val="12"/>
        <rFont val="Calibri"/>
        <family val="2"/>
        <scheme val="minor"/>
      </rPr>
      <t>Gesamt-</t>
    </r>
    <r>
      <rPr>
        <b/>
        <sz val="12"/>
        <rFont val="Calibri"/>
        <family val="2"/>
        <scheme val="minor"/>
      </rPr>
      <t xml:space="preserve">Gebäude
</t>
    </r>
    <r>
      <rPr>
        <b/>
        <i/>
        <sz val="12"/>
        <rFont val="Calibri"/>
        <family val="2"/>
        <scheme val="minor"/>
      </rPr>
      <t>(Nutzung durch Gesamtgebäude 
= durch Nutzer</t>
    </r>
    <r>
      <rPr>
        <b/>
        <i/>
        <u/>
        <sz val="12"/>
        <rFont val="Calibri"/>
        <family val="2"/>
        <scheme val="minor"/>
      </rPr>
      <t xml:space="preserve">innerhalb und außerhalb </t>
    </r>
    <r>
      <rPr>
        <b/>
        <i/>
        <sz val="12"/>
        <rFont val="Calibri"/>
        <family val="2"/>
        <scheme val="minor"/>
      </rPr>
      <t>des Heimbereichs)</t>
    </r>
  </si>
  <si>
    <r>
      <t xml:space="preserve">Mischflächen </t>
    </r>
    <r>
      <rPr>
        <b/>
        <u/>
        <sz val="12"/>
        <rFont val="Calibri"/>
        <family val="2"/>
        <scheme val="minor"/>
      </rPr>
      <t>innerhalb Heimbereich</t>
    </r>
    <r>
      <rPr>
        <b/>
        <sz val="12"/>
        <rFont val="Calibri"/>
        <family val="2"/>
        <scheme val="minor"/>
      </rPr>
      <t xml:space="preserve">
</t>
    </r>
    <r>
      <rPr>
        <b/>
        <i/>
        <sz val="12"/>
        <rFont val="Calibri"/>
        <family val="2"/>
        <scheme val="minor"/>
      </rPr>
      <t>(Nutzung innerhalb Heimbereich, jedoch sowohl Nutzung für persönl. Wohnraum als auch für Fachleistungsflächen)</t>
    </r>
  </si>
  <si>
    <t>somit anteilige Kosten des Wohnangebots pro Jahr</t>
  </si>
  <si>
    <t>m² pro Bew.</t>
  </si>
  <si>
    <t>pro Bewohner und Tag:</t>
  </si>
  <si>
    <t>pro Bewohner und Jahr</t>
  </si>
  <si>
    <t>pro Bewohner und Monat</t>
  </si>
  <si>
    <t>Summe pro Bewohner und Monat</t>
  </si>
  <si>
    <t>Es entfallen auf</t>
  </si>
  <si>
    <t>(anteilige Berechnung Wohnangebot erfolgt unten)</t>
  </si>
  <si>
    <t>GESAMTE Miete/Pacht/Leasing zentrale Infrastruktur</t>
  </si>
  <si>
    <t>GESAMT-Finanzierung zentraler Infrastruktur</t>
  </si>
  <si>
    <t>GESAMTE Infrastruktur-Kosten AHK</t>
  </si>
  <si>
    <t>Anteilige Berechnung für das konkrete Wohnangebot 
erfolgt unten automatisiert</t>
  </si>
  <si>
    <t>Schritt B_2: Investitionskosten Sonder-Infrastruktur</t>
  </si>
  <si>
    <t>Schritt C_2: Nebenkosten Sonder-Infrastruktur</t>
  </si>
  <si>
    <t>Summe Aufschlag Sonder-Infrastruktur</t>
  </si>
  <si>
    <t>Summe Aufschlag Sonder-Infrastrastruktur</t>
  </si>
  <si>
    <t>Gesamtzahl der Nutzer des Sonder-Infrastruktur</t>
  </si>
  <si>
    <t>Summe Gebäude Kaltmiete</t>
  </si>
  <si>
    <t>p.M.:</t>
  </si>
  <si>
    <t>Aufschlag zentr. Verwaltungsfl.</t>
  </si>
  <si>
    <t>Sonder-Infrastruktur</t>
  </si>
  <si>
    <t>Nebenkosten Sonder-Infrastruktur</t>
  </si>
  <si>
    <t>Möglichkeit zur Bildung von Zimmer-Kategorien</t>
  </si>
  <si>
    <t>Kategorie 1</t>
  </si>
  <si>
    <t>Kategorie 2</t>
  </si>
  <si>
    <t>Durchschnittliche Kalt-Miete pro Monat der persönlichen Wohnfläche</t>
  </si>
  <si>
    <t>Platzzahl</t>
  </si>
  <si>
    <t>Monatliche Gesamt-Kaltmiete der persönlichen Wohnflächen</t>
  </si>
  <si>
    <t>Budgetneutrale Aufteilung auf Kategorien</t>
  </si>
  <si>
    <t>Kontrolle Platzzahl</t>
  </si>
  <si>
    <t>Kontrolle Kaltmiete gesamt</t>
  </si>
  <si>
    <t>(Teilhabe-Aufschlag KdU &gt; 125%)</t>
  </si>
  <si>
    <t>&lt;= Bitte tragen Sie hier ein "x" ein, wenn Sie 3 Zimmerkategorien bilden wollen!</t>
  </si>
  <si>
    <t>Bildung von 3 Zimmerkategorien</t>
  </si>
  <si>
    <t>Bildung von 2 Zimmerkategorien</t>
  </si>
  <si>
    <t>&lt;= Bitte tragen Sie hier ein "x" ein, wenn Sie 2 Zimmerkategorien bilden wollen!</t>
  </si>
  <si>
    <t>monatlicher Investitionsbetrag
Fachleistung</t>
  </si>
  <si>
    <t>Kontrolle Warmmiete Gesamt</t>
  </si>
  <si>
    <t>monatl. Kaltmiete</t>
  </si>
  <si>
    <t>Aufschlag zentr. Verwaltungsflächen</t>
  </si>
  <si>
    <t>durchschnittlliche Kaltmiete</t>
  </si>
  <si>
    <t>Da Wohnflächen und Standards einzelner Zimmerangebote unterschiedlich sein können, können Leistungserbringer ggfs. geeignete Zimmerkategorien nach objektiven Maßstäben bilden (bspw. bei gravierenden Unterschieden von Wohnflächen oder Ausstattungs-Standards). Dabei werden die durchschnittlich ermittelten Kosten für Wohnraumüberlassung in unterschiedliche Kategorien umgerechnet. Die Kategorisierung ist in den WBVG-Verträgen und vorvertraglichen Informationen nachvollziehbar darzustellen. Es wird empfohlen nicht mehr als 3 Kategorien zu bilden.  Für die Bildung von 2 oder 3 Kategorien sind hier Berechnungsformeln hinterlegt.</t>
  </si>
  <si>
    <t>Kalkulationsgrundlage</t>
  </si>
  <si>
    <t>Jahr der Inbetriebnahme (JJJJ)</t>
  </si>
  <si>
    <t>Rechnung mit altem IK-Satz, da Anschaffungs- und Herstellkosten nicht mehr ermittelbar.</t>
  </si>
  <si>
    <t>Bitte tragen Sie ein "x" in Feld D6 ein =&gt;</t>
  </si>
  <si>
    <t>Bitte tragen Sie ein "x" in Feld D8 ein =&gt;</t>
  </si>
  <si>
    <t xml:space="preserve">Nachrichtlich zur transparenten Darstellung im Mietvertrag gem §42a Absatz 5 Satz 4 SGB XII: </t>
  </si>
  <si>
    <t>Nebenkosten (ggfs. Schätzung)</t>
  </si>
  <si>
    <t>Diese Ergebnis-Übersicht stellt alle vertraglich notwendigen Daten für den Fall dar, dass alle Leistungsberechtigten dieselbe Warmmiete bezahlen. Sofern Sie unterschiedliche Mietpreise für verschiedene Zimmer-Kategorien bilden wollen, füllen Sie bitte zusätzlich den Reiter "Zimmer-Kategorien" aus. Die Ergebnisse werden dann dort für die verschiedenen Kategorien dargestellt.</t>
  </si>
  <si>
    <t>Zusammenfassung Sonder-Infrastruktur</t>
  </si>
  <si>
    <t>Nebenkosten Sonder-Infrastruktur 
GESAMT</t>
  </si>
  <si>
    <t>Gewichtung mit Aufteilungsschlüssel Sonder-Infrastr.</t>
  </si>
  <si>
    <r>
      <t xml:space="preserve">Standardfall: Kosten liegen getrennt für Heimbereich vor. Bitte unten nur Gebäudekosten des </t>
    </r>
    <r>
      <rPr>
        <b/>
        <u/>
        <sz val="11"/>
        <rFont val="Calibri"/>
        <family val="2"/>
        <scheme val="minor"/>
      </rPr>
      <t>Heimbereichs</t>
    </r>
    <r>
      <rPr>
        <b/>
        <sz val="11"/>
        <rFont val="Calibri"/>
        <family val="2"/>
        <scheme val="minor"/>
      </rPr>
      <t xml:space="preserve"> erfassen!</t>
    </r>
  </si>
  <si>
    <r>
      <t xml:space="preserve">Sonderfall: Kosten liegen </t>
    </r>
    <r>
      <rPr>
        <b/>
        <u/>
        <sz val="11"/>
        <rFont val="Calibri"/>
        <family val="2"/>
        <scheme val="minor"/>
      </rPr>
      <t>nur für Gesamtgebäude inkl. freier Flächen</t>
    </r>
    <r>
      <rPr>
        <b/>
        <sz val="11"/>
        <rFont val="Calibri"/>
        <family val="2"/>
        <scheme val="minor"/>
      </rPr>
      <t xml:space="preserve"> vor. Bitte unten Kosten des </t>
    </r>
    <r>
      <rPr>
        <b/>
        <u/>
        <sz val="11"/>
        <rFont val="Calibri"/>
        <family val="2"/>
        <scheme val="minor"/>
      </rPr>
      <t>Gesamt</t>
    </r>
    <r>
      <rPr>
        <b/>
        <sz val="11"/>
        <rFont val="Calibri"/>
        <family val="2"/>
        <scheme val="minor"/>
      </rPr>
      <t>gebäudes erfassen!</t>
    </r>
  </si>
  <si>
    <r>
      <t xml:space="preserve">Standardfall: Kosten liegen getrennt für Heimbereich vor. Bitte unten nur Nebenkosten des </t>
    </r>
    <r>
      <rPr>
        <b/>
        <u/>
        <sz val="11"/>
        <rFont val="Calibri"/>
        <family val="2"/>
        <scheme val="minor"/>
      </rPr>
      <t>Heimbereichs</t>
    </r>
    <r>
      <rPr>
        <b/>
        <sz val="11"/>
        <rFont val="Calibri"/>
        <family val="2"/>
        <scheme val="minor"/>
      </rPr>
      <t xml:space="preserve"> erfassen!</t>
    </r>
  </si>
  <si>
    <r>
      <t xml:space="preserve">Sonderfall: Nebenkosten liegen nur für Gesamt-Gebäude inkl. freier Flächen vor. Bitte unten Nebenkosten des </t>
    </r>
    <r>
      <rPr>
        <b/>
        <u/>
        <sz val="11"/>
        <rFont val="Calibri"/>
        <family val="2"/>
        <scheme val="minor"/>
      </rPr>
      <t>Gesamt</t>
    </r>
    <r>
      <rPr>
        <b/>
        <sz val="11"/>
        <rFont val="Calibri"/>
        <family val="2"/>
        <scheme val="minor"/>
      </rPr>
      <t>gebäudes erfassen!</t>
    </r>
  </si>
  <si>
    <r>
      <rPr>
        <b/>
        <sz val="16"/>
        <color theme="1"/>
        <rFont val="Calibri"/>
        <family val="2"/>
        <scheme val="minor"/>
      </rPr>
      <t>Ausstattung des Heimbereichs</t>
    </r>
    <r>
      <rPr>
        <b/>
        <sz val="11"/>
        <color theme="1"/>
        <rFont val="Calibri"/>
        <family val="2"/>
        <scheme val="minor"/>
      </rPr>
      <t xml:space="preserve">
Anlagenbezeichnung</t>
    </r>
  </si>
  <si>
    <t>Stammdaten</t>
  </si>
  <si>
    <t>Die Aufteilung der Flächen in persönlichen Wohnraum und Fachleistungsflächen ist anhand der tatsächlichen Flächen vorzunehmen.</t>
  </si>
  <si>
    <t>Kontrolle:</t>
  </si>
  <si>
    <r>
      <t xml:space="preserve">Aufteilung der Nebenkosten:
</t>
    </r>
    <r>
      <rPr>
        <sz val="11"/>
        <rFont val="Calibri"/>
        <family val="2"/>
        <scheme val="minor"/>
      </rPr>
      <t xml:space="preserve">Sofern die Nebenkosten bereits getrennt für den Heimbereich vorliegen, werden die Kosten anhand des Flächenschlüssels "persönliche Wohnfläche : Fachleistungsflächen" verteilt (Standardfall, Schlüssel aus Reiter A Flächen Feld E174 und E 175). 
Nur sofern die Nebenkosten lediglich für das Gesamtgebäude </t>
    </r>
    <r>
      <rPr>
        <u/>
        <sz val="11"/>
        <rFont val="Calibri"/>
        <family val="2"/>
        <scheme val="minor"/>
      </rPr>
      <t>inkl. freier Flächen</t>
    </r>
    <r>
      <rPr>
        <sz val="11"/>
        <rFont val="Calibri"/>
        <family val="2"/>
        <scheme val="minor"/>
      </rPr>
      <t xml:space="preserve"> (freie Wohnungen u.ä.) vorliegen, müssen die Nebenkosten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</si>
  <si>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t>Aufwand p.a.  €</t>
  </si>
  <si>
    <t>In den Wohn- und Wohnnebenkosten enthaltene zusätzliche Kosten</t>
  </si>
  <si>
    <t>weitere zusätzl. Wohn- und Wohnnebenkosten gem. §42a Absatz 5 Satz 4 Nr.2 SGB XII</t>
  </si>
  <si>
    <t>Zuschläge für Instandhaltung von persönlichen Räumlichkeiten und den Räumlichkeiten zur gemeinschaftlichen Nutzung</t>
  </si>
  <si>
    <t>Summe zusätzl. Kosten persönl. Wohnfläche</t>
  </si>
  <si>
    <t xml:space="preserve">Mietausfallwagnis </t>
  </si>
  <si>
    <r>
      <rPr>
        <b/>
        <sz val="16"/>
        <color theme="1"/>
        <rFont val="Calibri"/>
        <family val="2"/>
        <scheme val="minor"/>
      </rPr>
      <t>Ausstattung des Heimbereichs</t>
    </r>
    <r>
      <rPr>
        <b/>
        <sz val="11"/>
        <color theme="1"/>
        <rFont val="Calibri"/>
        <family val="2"/>
        <scheme val="minor"/>
      </rPr>
      <t xml:space="preserve">
</t>
    </r>
  </si>
  <si>
    <t>Anlage: Atypische Ausstattungskosten</t>
  </si>
  <si>
    <t>Summe laufende Ausstattungskosten</t>
  </si>
  <si>
    <t>125 %-Grenze nach § 42a Abs. 5 S. 4 SGB XII:</t>
  </si>
  <si>
    <t>Nachrichtliche Angaben für Nachweis der KdU-Bedarfe gegenüber dem Leistungsträger:</t>
  </si>
  <si>
    <t>durchschnittl. angem. tatsächliche Aufwendungen für die Warmmiete</t>
  </si>
  <si>
    <t>Die Überschreitung in Prozent beträgt:</t>
  </si>
  <si>
    <t>eines 1-Personenhaushaltes (100%):</t>
  </si>
  <si>
    <t>durchschnittliche angemessene tatsächliche Aufwendungen für die Warmmiete</t>
  </si>
  <si>
    <r>
      <t xml:space="preserve">Hinweis zur Hausreinigung:
</t>
    </r>
    <r>
      <rPr>
        <sz val="11"/>
        <rFont val="Calibri"/>
        <family val="2"/>
        <scheme val="minor"/>
      </rPr>
      <t>Hausreinigung wird über das Basismodul in der Fachleistung vergütet und deshalb im KdU-Tool nicht angesetzt, da keine doppelte Anrechnung erfolgen darf.</t>
    </r>
  </si>
  <si>
    <t>Hochrechnung auf AHK gemieteter/geleaster Ausstattung:</t>
  </si>
  <si>
    <r>
      <t xml:space="preserve">Die Kosten liegen </t>
    </r>
    <r>
      <rPr>
        <b/>
        <u/>
        <sz val="11"/>
        <rFont val="Calibri"/>
        <family val="2"/>
        <scheme val="minor"/>
      </rPr>
      <t>NICHT</t>
    </r>
    <r>
      <rPr>
        <b/>
        <sz val="11"/>
        <rFont val="Calibri"/>
        <family val="2"/>
        <scheme val="minor"/>
      </rPr>
      <t xml:space="preserve"> nach Kostengruppen 
getrennt vor.</t>
    </r>
  </si>
  <si>
    <t>Regelfall: Berechnung auf Basis der Ist-Kosten</t>
  </si>
  <si>
    <t>Standort-Kreis:</t>
  </si>
  <si>
    <t>Mietberechnung - KdU-Tool</t>
  </si>
  <si>
    <t>Laufende Ausstattungskosten: gemietete Ausstattung (bspw. Kopierer, EDV, Software,...) und geringw. Wirtschaftsgüter</t>
  </si>
  <si>
    <t xml:space="preserve">   davon persönl. Wohnflächen inkl. Gemeinschaftsflächen</t>
  </si>
  <si>
    <t>persönliche Wohnflächen + Gemeinschaftsfl.</t>
  </si>
  <si>
    <r>
      <rPr>
        <b/>
        <i/>
        <sz val="11"/>
        <rFont val="Calibri"/>
        <family val="2"/>
        <scheme val="minor"/>
      </rPr>
      <t>Räumlichkeiten zur gemeinschaftlichen Nutzung</t>
    </r>
    <r>
      <rPr>
        <i/>
        <sz val="11"/>
        <rFont val="Calibri"/>
        <family val="2"/>
        <scheme val="minor"/>
      </rPr>
      <t xml:space="preserve">gem. §42a Absatz 5 Satz 4 Nr.3 SGB XII </t>
    </r>
  </si>
  <si>
    <t>AfA ohne Ausstattung</t>
  </si>
  <si>
    <t>AfA Gebäude und Zubehör</t>
  </si>
  <si>
    <r>
      <t xml:space="preserve">Hier sind nur Nebenkosten einzutragen, die sich auf Sonder-Infrastruktur aus Reiter "B_2 Sonderinfrastruktur" beziehen, die noch nicht über andere Refinanzierungsquellen abgedeckt sind und insbesondere nicht bereits in den Nebenkosten des Wohngebäudes enthalten sind (z.B. über Abrechnung Kosten Strom, Wärme, Wasser, Abwasser...). Bitte lesen Sie hierzu auch die Erläuterungen in der der Ausfüllhilfe. 
</t>
    </r>
    <r>
      <rPr>
        <b/>
        <sz val="11"/>
        <rFont val="Calibri"/>
        <family val="2"/>
        <scheme val="minor"/>
      </rPr>
      <t>Nicht zu berücksichtigen sind die Nebenkosten von Flächen zentraler Verwaltung</t>
    </r>
    <r>
      <rPr>
        <sz val="11"/>
        <rFont val="Calibri"/>
        <family val="2"/>
        <scheme val="minor"/>
      </rPr>
      <t xml:space="preserve">, da diese bereits über einen Aufschlag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</si>
  <si>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t>ggfs. abweichender Prozentsatz</t>
  </si>
  <si>
    <t>bspw. auf Basis akt. Kostenrichtwert</t>
  </si>
  <si>
    <t>für Instandhaltung</t>
  </si>
  <si>
    <t>Basis für Berechnung Instandhalt.</t>
  </si>
  <si>
    <t>nur bei angemieteten Gebäuden:</t>
  </si>
  <si>
    <r>
      <t xml:space="preserve">Hier sind nur Investitionskosten von Sonder-Infrastruktur außerhalb des konkreten Wohngebäudes zu erfassen, die nicht bereits über andere Refinanzierungsquellen abgedeckt sind, dem konkreten Wohngebäude jedoch anteilig zuzurechnen sind. Siehe Erläuterungen unter Punkt 4.1 im Leitfaden.
Nicht zu berücksichtigen sind die Flächen zentraler Verwaltung, da diese bereits über einen Aufschlag in Höhe von 3%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</si>
  <si>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t>Vor Ausfüllen des KdU-Tools wird die Lektüre der Ausfüllhilfe empfohlen!</t>
  </si>
  <si>
    <t>laufender jährl. Auswand für Miete/Pacht/Leasing für Gebäude und Grundstücke</t>
  </si>
  <si>
    <t xml:space="preserve">Verwaltungskosten </t>
  </si>
  <si>
    <r>
      <rPr>
        <b/>
        <sz val="11"/>
        <color theme="1"/>
        <rFont val="Calibri"/>
        <family val="2"/>
        <scheme val="minor"/>
      </rPr>
      <t>Mietverwaltung</t>
    </r>
    <r>
      <rPr>
        <sz val="11"/>
        <color theme="1"/>
        <rFont val="Calibri"/>
        <family val="2"/>
        <scheme val="minor"/>
      </rPr>
      <t xml:space="preserve"> </t>
    </r>
  </si>
  <si>
    <t>Indexierung Nebenkosten aus letzter Verhandlung</t>
  </si>
  <si>
    <t>Bitte tragen Sie ein "x" in Feld C11 ein =&gt;</t>
  </si>
  <si>
    <t>Bitte tragen Sie ein "x" in Feld C13 ein =&gt;</t>
  </si>
  <si>
    <t>Neuverhandlung der Nebenkosten</t>
  </si>
  <si>
    <t>Jahr, für das verhandelt wird</t>
  </si>
  <si>
    <t>Anlage: Inflationsraten</t>
  </si>
  <si>
    <t>Inflationsmatrix für Nebenkosten-Indexierung</t>
  </si>
  <si>
    <t>Gesamt-Indexierung</t>
  </si>
  <si>
    <t>Inflationsrate für Gesamt-Zeitraum</t>
  </si>
  <si>
    <t>letzte 
Verhandlung</t>
  </si>
  <si>
    <t>Indexierung
Verwaltungs-
kosten</t>
  </si>
  <si>
    <t>Kombiwert</t>
  </si>
  <si>
    <t>KombiWert:</t>
  </si>
  <si>
    <t>Inflations-Index:</t>
  </si>
  <si>
    <t>Aufwand p.a.</t>
  </si>
  <si>
    <t>beantragte
Werte</t>
  </si>
  <si>
    <t>Die Felder C18 und C19 sind nur auszufüllen, wenn auf Basis der letzten Verhandlung indexiert werden soll.</t>
  </si>
  <si>
    <t>Bitte tragen Sie für eine korrekte Indexierung die 
Inflationsraten in den Reiter "Anlage Inflationsraten" ein.</t>
  </si>
  <si>
    <t>Inflationsrate des 
stat. Bundesamts
(ggfs. Schätzung für aktuelles und zu verhandelndes Jahr)</t>
  </si>
  <si>
    <t>Geltungsjahr letzte Verhandlung</t>
  </si>
  <si>
    <t>Jahr, für das indexiert wird:</t>
  </si>
  <si>
    <t>Bitte setzen Sie hier ein "x", wenn die Nebenkosten erstmals oder vollständig neu verhandelt werden sollen und tragen Sie Ihre beantragten Nebenkosten unten in Spalte C ein.</t>
  </si>
  <si>
    <t>entsprechende Jahreszahlen hinterlegt haben.</t>
  </si>
  <si>
    <t>Bitte setzen Sie hier ein "x", wenn die Nebenkosten erstmals oder vollständig neu verhandelt werden sollen und tragen Sie Ihre beantragten Nebenkosten unten in Spalte B ein.</t>
  </si>
  <si>
    <t>Bitte setzen Sie hier ein "x", wenn die zuletzt verhandelten 
Nebenkosten auf Basis der Inflationsrate fortgeschrieben werden. Tragen Sie das letzte Verhandlungsergebnis unten in Spalte B ein und befüllen Sie die Felder C18 und C19.</t>
  </si>
  <si>
    <t>Bitte setzen Sie hier ein "x", wenn die zuletzt verhandelten Nebenkosten auf Basis der Inflationsrate fortgeschrieben werden. Tragen Sie das letzte Verhandlungsergebnis unten in Spalte C ein und befüllen Sie die Felder C13 und C14.</t>
  </si>
  <si>
    <t>Betrieb und Wartung der Wasserversorg.</t>
  </si>
  <si>
    <t>Betrieb / Wartung der Wärmeversorg.</t>
  </si>
  <si>
    <t>Telekomm., Rundfunk, Ferns., Internet</t>
  </si>
  <si>
    <t>pro Belegungstag:</t>
  </si>
  <si>
    <t>Bitte tragen Sie ein "x" in Feld D10 ein =&gt;</t>
  </si>
  <si>
    <t>Bitte treffen Sie fogende Auswahl:</t>
  </si>
  <si>
    <t>Aktuelle Ausstattungspauschale</t>
  </si>
  <si>
    <t>pro Platz</t>
  </si>
  <si>
    <t>erstmals für das Jahr</t>
  </si>
  <si>
    <t>Ansatz in der letzten KdU-Verhandlung:</t>
  </si>
  <si>
    <t>Jahr, für das verhandelt wird:</t>
  </si>
  <si>
    <t xml:space="preserve">atypisch höhere Ausstattungskosten: </t>
  </si>
  <si>
    <t>Indexierung
Ausstattung</t>
  </si>
  <si>
    <r>
      <rPr>
        <b/>
        <sz val="11"/>
        <color theme="1"/>
        <rFont val="Calibri"/>
        <family val="2"/>
        <scheme val="minor"/>
      </rPr>
      <t>Nebenkosten:</t>
    </r>
    <r>
      <rPr>
        <sz val="11"/>
        <color theme="1"/>
        <rFont val="Calibri"/>
        <family val="2"/>
        <scheme val="minor"/>
      </rPr>
      <t xml:space="preserve"> Die Indexierung der Nebenkosten erfolgt anhand der hier hinterlegten </t>
    </r>
  </si>
  <si>
    <t xml:space="preserve">der Nebenkosten" gewählt haben (Feld C13) und dort  in den Feldern C18 und C19 </t>
  </si>
  <si>
    <t xml:space="preserve">Inflationsraten automatisch, wenn Sie im Reiter C_1 Nebenkosten die Option "Indexierung </t>
  </si>
  <si>
    <t>Inflationsraten automatisch im Reiter D Ausstattung entsprechend der dort dargelegten</t>
  </si>
  <si>
    <t xml:space="preserve">Regeln. </t>
  </si>
  <si>
    <t>Zuschuss zur Ausstattung</t>
  </si>
  <si>
    <t>KdU-Berechnung mit Alt-IK: Geltendmachung der Differenz zur aktuell anerkennbaren Ausstattungs-Pauschale</t>
  </si>
  <si>
    <t>Kosten pro Bewohner und Tag:</t>
  </si>
  <si>
    <t>Aufteilungschlüssel =&gt;</t>
  </si>
  <si>
    <t>Aufteilungschlüssel Alt-IK =&gt;</t>
  </si>
  <si>
    <t>anerkennbar:</t>
  </si>
  <si>
    <t>Version 2.0</t>
  </si>
  <si>
    <t>Sonderfall Sanierung: Berechnung mit Ist-Sanierungskosten und anteiligem Alt-IK.</t>
  </si>
  <si>
    <t>(max. 125% eines Ein-Personenhaushalts)</t>
  </si>
  <si>
    <t>Bitte tragen Sie ein "x" in Feld D23 ein =&gt;</t>
  </si>
  <si>
    <t>Bitte tragen Sie ein "x" in Feld D25 ein =&gt;</t>
  </si>
  <si>
    <t>Bitte tragen Sie ein "x" in Feld D16 ein =&gt;</t>
  </si>
  <si>
    <t>Durchschnittl. Warmmiete 100%</t>
  </si>
  <si>
    <r>
      <t xml:space="preserve">Nur bei Berechnung mit Ist-Kosten: Liegen die Gebäudekosten abgegrenzt für die besondere Wohnform vor?
</t>
    </r>
    <r>
      <rPr>
        <sz val="11"/>
        <rFont val="Calibri"/>
        <family val="2"/>
        <scheme val="minor"/>
      </rPr>
      <t xml:space="preserve">Sofern die Gebäudekosten bereits getrennt für die besondere Wohnform vorliegen (bspw. aus Förderverfahren), werden die Kosten anhand des Flächenschlüssels "persönliche Wohnfläche : Fachleistungsflächen" verteilt (Standardfall, Schlüssel aus Reiter A Flächen Feld E174 und E 175). 
Nur sofern die Gebäudekosten lediglich für das Gesamtgebäude </t>
    </r>
    <r>
      <rPr>
        <u/>
        <sz val="11"/>
        <rFont val="Calibri"/>
        <family val="2"/>
        <scheme val="minor"/>
      </rPr>
      <t>inkl. freier Flächen</t>
    </r>
    <r>
      <rPr>
        <sz val="11"/>
        <rFont val="Calibri"/>
        <family val="2"/>
        <scheme val="minor"/>
      </rPr>
      <t xml:space="preserve"> (freie Wohnungen u.ä.) vorliegen, müssen die 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</si>
  <si>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t>Bitte tragen Sie ein "x" in Feld D14 ein =&gt;</t>
  </si>
  <si>
    <r>
      <rPr>
        <b/>
        <sz val="11"/>
        <rFont val="Calibri"/>
        <family val="2"/>
        <scheme val="minor"/>
      </rPr>
      <t>Nur bei Berechnung mit Ist-Kosten: Liegt eine Aufteilung der Kosten nach Kostengruppen nach DIN267 vor?</t>
    </r>
    <r>
      <rPr>
        <sz val="11"/>
        <rFont val="Calibri"/>
        <family val="2"/>
        <scheme val="minor"/>
      </rPr>
      <t xml:space="preserve">
Falls ja, tragen Sie diese bitte ab Zeile 30 bei den Anschaffungskosten in die Felder der entsprechenden Kostengruppen ein. 
Sofern jedoch </t>
    </r>
    <r>
      <rPr>
        <u/>
        <sz val="11"/>
        <rFont val="Calibri"/>
        <family val="2"/>
        <scheme val="minor"/>
      </rPr>
      <t xml:space="preserve">keine Aufteilung der AHK nach Kostengruppen ermittelbar </t>
    </r>
    <r>
      <rPr>
        <sz val="11"/>
        <rFont val="Calibri"/>
        <family val="2"/>
        <scheme val="minor"/>
      </rPr>
      <t>ist, kann für Gebäude, die ab 2005 in Betrieb genommen wurden, statt der gestaffelten AfA-Sätze (Gebäude 2,0%, technische Anlagen 6,7% und Außenanlagen 4%) ein einheitlicher AfA-Satz von 3,33% angesetzt werden. Das KdU-Tool berechnet dies automatisiert, wenn Sie in Feld D20 ein "x" setzen.
Bei Gebäuden, die vor 2005 in Betrieb gingen, wird automatisch eine einheitliche Gebäude-Abschreibung von 2,45% hinterlegt.</t>
    </r>
  </si>
  <si>
    <t>Bitte tragen Sie ein "x" in Feld D20 ein =&gt;</t>
  </si>
  <si>
    <r>
      <rPr>
        <b/>
        <u/>
        <sz val="11"/>
        <rFont val="Calibri"/>
        <family val="2"/>
        <scheme val="minor"/>
      </rPr>
      <t>Regelfall:</t>
    </r>
    <r>
      <rPr>
        <sz val="11"/>
        <rFont val="Calibri"/>
        <family val="2"/>
        <scheme val="minor"/>
      </rPr>
      <t xml:space="preserve"> Die Höhe der Pauschale für Ausstattung wird ab 2025 jährlich fortgeschrieben und an die Kostenentwicklung (Inflation) angepasst. Der Ausgangswert für die Indexierung beträgt 7.235 € pro Platz für das Jahr 2025. </t>
    </r>
    <r>
      <rPr>
        <b/>
        <sz val="11"/>
        <rFont val="Calibri"/>
        <family val="2"/>
        <scheme val="minor"/>
      </rPr>
      <t xml:space="preserve">Bei Neueröffnungen und Wiederinbetriebnahmen nach Sanierungsmaßnahmen mit Neubeschaffung der Ausstattung ab 01.01.2025 </t>
    </r>
    <r>
      <rPr>
        <sz val="11"/>
        <rFont val="Calibri"/>
        <family val="2"/>
        <scheme val="minor"/>
      </rPr>
      <t xml:space="preserve">wird jeweils der bei Inbetriebnahme/Wiederinbetriebnahme aktuellen Wert berücksichtigt (Indexierung erfolgt im Reiter Inflationsraten). </t>
    </r>
    <r>
      <rPr>
        <b/>
        <sz val="11"/>
        <rFont val="Calibri"/>
        <family val="2"/>
        <scheme val="minor"/>
      </rPr>
      <t>Nach erstmaligem Ansatz einer neuen Pauschale bleibt diese während der Abschreibungsdauer (8 Jahre) unverändert und wird danach automatisch auf den dann aktuellen Wert angepasst</t>
    </r>
    <r>
      <rPr>
        <sz val="11"/>
        <rFont val="Calibri"/>
        <family val="2"/>
        <scheme val="minor"/>
      </rPr>
      <t xml:space="preserve">. 
</t>
    </r>
    <r>
      <rPr>
        <sz val="4"/>
        <rFont val="Calibri"/>
        <family val="2"/>
        <scheme val="minor"/>
      </rPr>
      <t xml:space="preserve">
</t>
    </r>
    <r>
      <rPr>
        <b/>
        <u/>
        <sz val="11"/>
        <rFont val="Calibri"/>
        <family val="2"/>
        <scheme val="minor"/>
      </rPr>
      <t>Sonder-Regelung für Bestandsgebäude:</t>
    </r>
    <r>
      <rPr>
        <sz val="11"/>
        <rFont val="Calibri"/>
        <family val="2"/>
        <scheme val="minor"/>
      </rPr>
      <t xml:space="preserve"> Für alle Bestandgebäude, die bis einschließlich 2024 eine Ausstattungspauschale von 6.000 € je Platz vereinbart hatten, wird die Pauschale zum 01.01.2028 auf den dann gültigen Wert angehoben. Diese bleibt dann wiederum 8 Jahre unverändert. Weitergehende Erläuterungen: Siehe Ausfüllhilfe.
</t>
    </r>
    <r>
      <rPr>
        <sz val="4"/>
        <rFont val="Calibri"/>
        <family val="2"/>
        <scheme val="minor"/>
      </rPr>
      <t xml:space="preserve">
</t>
    </r>
    <r>
      <rPr>
        <b/>
        <u/>
        <sz val="11"/>
        <rFont val="Calibri"/>
        <family val="2"/>
        <scheme val="minor"/>
      </rPr>
      <t>Sanierung:</t>
    </r>
    <r>
      <rPr>
        <sz val="11"/>
        <rFont val="Calibri"/>
        <family val="2"/>
        <scheme val="minor"/>
      </rPr>
      <t xml:space="preserve"> Sofern Sie eine </t>
    </r>
    <r>
      <rPr>
        <b/>
        <sz val="11"/>
        <rFont val="Calibri"/>
        <family val="2"/>
        <scheme val="minor"/>
      </rPr>
      <t xml:space="preserve">Sanierung </t>
    </r>
    <r>
      <rPr>
        <sz val="11"/>
        <rFont val="Calibri"/>
        <family val="2"/>
        <scheme val="minor"/>
      </rPr>
      <t>verhandeln, liegt bzgl. Ausstattung normalerweise der</t>
    </r>
    <r>
      <rPr>
        <b/>
        <sz val="11"/>
        <rFont val="Calibri"/>
        <family val="2"/>
        <scheme val="minor"/>
      </rPr>
      <t xml:space="preserve"> Regelfall</t>
    </r>
    <r>
      <rPr>
        <sz val="11"/>
        <rFont val="Calibri"/>
        <family val="2"/>
        <scheme val="minor"/>
      </rPr>
      <t xml:space="preserve"> vor. Der in der Gebäude-Kaltmiete noch anzusetzende anteilige Alt-IK für die weiterhin genutzte Gebäudesubstanz enthält in der Regel keine Anteile mehr für Ausstattung.
</t>
    </r>
    <r>
      <rPr>
        <sz val="4"/>
        <rFont val="Calibri"/>
        <family val="2"/>
        <scheme val="minor"/>
      </rPr>
      <t xml:space="preserve">
</t>
    </r>
    <r>
      <rPr>
        <b/>
        <u/>
        <sz val="11"/>
        <rFont val="Calibri"/>
        <family val="2"/>
        <scheme val="minor"/>
      </rPr>
      <t>Fälle mit atypisch höheren Ausstattungskosten:</t>
    </r>
    <r>
      <rPr>
        <sz val="11"/>
        <rFont val="Calibri"/>
        <family val="2"/>
        <scheme val="minor"/>
      </rPr>
      <t xml:space="preserve"> In atypischen Fällen, bei denen personenkreisabhängig (bspw. LIBW, TWG) teilhabebedingt ein höherer Ausstattungsumfang oder Ausstattungsstandard notwendig ist,  ist auf Nachweis und mit einer Begründung über die Notwendigkeit die Anerkennung höherer Ausstattungskosten möglich. </t>
    </r>
    <r>
      <rPr>
        <b/>
        <sz val="11"/>
        <rFont val="Calibri"/>
        <family val="2"/>
        <scheme val="minor"/>
      </rPr>
      <t xml:space="preserve">
</t>
    </r>
    <r>
      <rPr>
        <b/>
        <sz val="4"/>
        <rFont val="Calibri"/>
        <family val="2"/>
        <scheme val="minor"/>
      </rPr>
      <t xml:space="preserve">
</t>
    </r>
    <r>
      <rPr>
        <b/>
        <u/>
        <sz val="11"/>
        <rFont val="Calibri"/>
        <family val="2"/>
        <scheme val="minor"/>
      </rPr>
      <t>KdU-Berechnung mit Alt-IK:</t>
    </r>
    <r>
      <rPr>
        <b/>
        <sz val="11"/>
        <rFont val="Calibri"/>
        <family val="2"/>
        <scheme val="minor"/>
      </rPr>
      <t xml:space="preserve">
</t>
    </r>
    <r>
      <rPr>
        <sz val="11"/>
        <rFont val="Calibri"/>
        <family val="2"/>
        <scheme val="minor"/>
      </rPr>
      <t>Sofern die KdU-Berechnung der Gebäudekaltmiete ausschließlich mit einem Alt-IK erfolgt, in dem die Ausstattung mit der zum damaligen Vereinbarungszeitpunkt üblichen Ausstattungs-Pauschale enthalten war, wird automatisiert die Differenz zum aktuellen Index-Stand berücksichtigt, wenn Sie ein "x" im Feld D16 setzen.</t>
    </r>
  </si>
  <si>
    <t>Regelfall: Ansatz der Ausstattungspauschale € je Platz:</t>
  </si>
  <si>
    <t>Bitte tragen Sie ein "x" in Feld D12 ein =&gt;</t>
  </si>
  <si>
    <t>Bitte tragen Sie ein "x" in Feld D14 ein =&gt;
und füllen Sie den Reiter "Anlage atypische Ausstattung" aus!</t>
  </si>
  <si>
    <r>
      <t xml:space="preserve">In diesem Reiter sind nur Eintragungen vorzunehmen, wenn es sich - abweichend vom Regelfall - um ein Angebot mit atypischen Ausstattungskosten handelt und Sie deshalb im Reiter "D Ausstatt." in Feld D14 ein "x" gesetzt haben!
</t>
    </r>
    <r>
      <rPr>
        <sz val="11"/>
        <rFont val="Calibri"/>
        <family val="2"/>
        <scheme val="minor"/>
      </rPr>
      <t>In atypischen Fällen, bei denen personenkreisabhängig (bspw. LIBW, TWG) teilhabebedingt ein höherer Ausstattungsumfang oder Ausstattungsstandard notwendig ist,  ist auf Nachweis und mit einer Begründung über die Notwendigkeit die Anerkennung höherer Ausstattungskosten möglich. Tragen Sie bitte in einem solchen Sonderfall hier in diesem Reiter die Ausstattungsgegenstände ein.</t>
    </r>
  </si>
  <si>
    <r>
      <rPr>
        <b/>
        <sz val="11"/>
        <rFont val="Calibri"/>
        <family val="2"/>
        <scheme val="minor"/>
      </rPr>
      <t>Ausstattung:</t>
    </r>
    <r>
      <rPr>
        <sz val="11"/>
        <rFont val="Calibri"/>
        <family val="2"/>
        <scheme val="minor"/>
      </rPr>
      <t xml:space="preserve"> Die Indexierung der Ausstattung erfolgt anhand der hier hinterlegten </t>
    </r>
  </si>
  <si>
    <t>Kategorie 3</t>
  </si>
  <si>
    <r>
      <rPr>
        <b/>
        <sz val="11"/>
        <rFont val="Calibri"/>
        <family val="2"/>
        <scheme val="minor"/>
      </rPr>
      <t xml:space="preserve">Regelfall: Grundsätzlich erfolgt die Berechnung anhand der </t>
    </r>
    <r>
      <rPr>
        <b/>
        <u/>
        <sz val="11"/>
        <rFont val="Calibri"/>
        <family val="2"/>
        <scheme val="minor"/>
      </rPr>
      <t>tatsächlichen angemessenen Kosten</t>
    </r>
    <r>
      <rPr>
        <b/>
        <sz val="11"/>
        <rFont val="Calibri"/>
        <family val="2"/>
        <scheme val="minor"/>
      </rPr>
      <t xml:space="preserve">. 
</t>
    </r>
    <r>
      <rPr>
        <b/>
        <sz val="6"/>
        <rFont val="Calibri"/>
        <family val="2"/>
        <scheme val="minor"/>
      </rPr>
      <t xml:space="preserve">
</t>
    </r>
    <r>
      <rPr>
        <b/>
        <sz val="11"/>
        <rFont val="Calibri"/>
        <family val="2"/>
        <scheme val="minor"/>
      </rPr>
      <t xml:space="preserve">Sonderfall Alt-IK: </t>
    </r>
    <r>
      <rPr>
        <sz val="11"/>
        <rFont val="Calibri"/>
        <family val="2"/>
        <scheme val="minor"/>
      </rPr>
      <t xml:space="preserve">Sofern für Altgebäude die </t>
    </r>
    <r>
      <rPr>
        <b/>
        <sz val="11"/>
        <rFont val="Calibri"/>
        <family val="2"/>
        <scheme val="minor"/>
      </rPr>
      <t>Anschaffungs- und Herstellungskosten nicht mehr nachgewiesen werden können</t>
    </r>
    <r>
      <rPr>
        <sz val="11"/>
        <rFont val="Calibri"/>
        <family val="2"/>
        <scheme val="minor"/>
      </rPr>
      <t xml:space="preserve">, ist (hilfsweise) der zuletzt vereinbarte IK-Satz (Alt-IK) anzuwenden Bitte beachten Sie in diesem Fall auch die Ausführungen und </t>
    </r>
    <r>
      <rPr>
        <b/>
        <u/>
        <sz val="11"/>
        <rFont val="Calibri"/>
        <family val="2"/>
        <scheme val="minor"/>
      </rPr>
      <t>notwendigen Angaben im Reiter D Ausstattung</t>
    </r>
    <r>
      <rPr>
        <sz val="11"/>
        <rFont val="Calibri"/>
        <family val="2"/>
        <scheme val="minor"/>
      </rPr>
      <t xml:space="preserve">.
</t>
    </r>
    <r>
      <rPr>
        <b/>
        <sz val="6"/>
        <rFont val="Calibri"/>
        <family val="2"/>
        <scheme val="minor"/>
      </rPr>
      <t xml:space="preserve">
</t>
    </r>
    <r>
      <rPr>
        <b/>
        <sz val="11"/>
        <rFont val="Calibri"/>
        <family val="2"/>
        <scheme val="minor"/>
      </rPr>
      <t>Sonderfall Sanierung:</t>
    </r>
    <r>
      <rPr>
        <sz val="11"/>
        <rFont val="Calibri"/>
        <family val="2"/>
        <scheme val="minor"/>
      </rPr>
      <t xml:space="preserve"> Im Falle von </t>
    </r>
    <r>
      <rPr>
        <b/>
        <sz val="11"/>
        <rFont val="Calibri"/>
        <family val="2"/>
        <scheme val="minor"/>
      </rPr>
      <t>Sanierungen</t>
    </r>
    <r>
      <rPr>
        <sz val="11"/>
        <rFont val="Calibri"/>
        <family val="2"/>
        <scheme val="minor"/>
      </rPr>
      <t xml:space="preserve"> kann nur im Einzelfall verhandelt und vereinbart werden, welcher </t>
    </r>
    <r>
      <rPr>
        <b/>
        <sz val="11"/>
        <rFont val="Calibri"/>
        <family val="2"/>
        <scheme val="minor"/>
      </rPr>
      <t xml:space="preserve">Anteil aus dem bisherigen IK-Satz für die weiterhin verwendete Altbausubstanz des Gebäudes </t>
    </r>
    <r>
      <rPr>
        <sz val="11"/>
        <rFont val="Calibri"/>
        <family val="2"/>
        <scheme val="minor"/>
      </rPr>
      <t>(Feld F10)</t>
    </r>
    <r>
      <rPr>
        <b/>
        <sz val="11"/>
        <rFont val="Calibri"/>
        <family val="2"/>
        <scheme val="minor"/>
      </rPr>
      <t xml:space="preserve"> </t>
    </r>
    <r>
      <rPr>
        <sz val="11"/>
        <rFont val="Calibri"/>
        <family val="2"/>
        <scheme val="minor"/>
      </rPr>
      <t xml:space="preserve">anzusetzen ist. Zusätzlich sind die Sanierungskosten unten bei den entsprechenden Kostengruppen einzutragen und auch der Reiter Ausstattung auszufüllen.
</t>
    </r>
    <r>
      <rPr>
        <sz val="6"/>
        <rFont val="Calibri"/>
        <family val="2"/>
        <scheme val="minor"/>
      </rPr>
      <t xml:space="preserve">
</t>
    </r>
    <r>
      <rPr>
        <b/>
        <sz val="11"/>
        <rFont val="Calibri"/>
        <family val="2"/>
        <scheme val="minor"/>
      </rPr>
      <t>Bitte treffen Sie fogende Auswahl:</t>
    </r>
  </si>
  <si>
    <t>Sonderfall: ganzjährig vorgehaltene Kurzzeit-Plätze. in bes. Wohnf.</t>
  </si>
  <si>
    <t>Sonderfall:
Solitäre Kurzzeit-Plätze</t>
  </si>
  <si>
    <t>Es handelt sich um eine Einrichtung für solitäre Kurzzeit-Angebote</t>
  </si>
  <si>
    <t>Es handelt sich um ganzjährig vorgehaltene Kurzzeitplätze in besonderen Wohnformen</t>
  </si>
  <si>
    <t>Gebäude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</si>
</sst>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0"/>
    <numFmt numFmtId="165" formatCode="#,##0.00_ ;[Red]\-#,##0.00\ "/>
    <numFmt numFmtId="166" formatCode="_-* #,##0\ &quot;€&quot;_-;\-* #,##0\ &quot;€&quot;_-;_-* &quot;-&quot;??\ &quot;€&quot;_-;_-@_-"/>
    <numFmt numFmtId="167" formatCode="#,##0.00_-;#,##0.00\-;&quot; &quot;"/>
    <numFmt numFmtId="168" formatCode="_-* #,##0.00\ [$€-1]_-;\-* #,##0.00\ [$€-1]_-;_-* &quot;-&quot;??\ [$€-1]_-"/>
    <numFmt numFmtId="169" formatCode="#,##0.00\ &quot;€&quot;"/>
    <numFmt numFmtId="170" formatCode="#,##0\ &quot;€&quot;"/>
    <numFmt numFmtId="171" formatCode="0.0000%"/>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sz val="9"/>
      <color theme="1"/>
      <name val="Calibri"/>
      <family val="2"/>
      <scheme val="minor"/>
    </font>
    <font>
      <sz val="11"/>
      <name val="Calibri"/>
      <family val="2"/>
      <scheme val="minor"/>
    </font>
    <font>
      <b/>
      <sz val="11"/>
      <color rgb="FFFF0000"/>
      <name val="Calibri"/>
      <family val="2"/>
      <scheme val="minor"/>
    </font>
    <font>
      <sz val="14"/>
      <name val="Calibri"/>
      <family val="2"/>
      <scheme val="minor"/>
    </font>
    <font>
      <b/>
      <sz val="14"/>
      <name val="Calibri"/>
      <family val="2"/>
      <scheme val="minor"/>
    </font>
    <font>
      <b/>
      <sz val="11"/>
      <name val="Calibri"/>
      <family val="2"/>
      <scheme val="minor"/>
    </font>
    <font>
      <b/>
      <sz val="11"/>
      <color theme="0" tint="-0.499984740745262"/>
      <name val="Calibri"/>
      <family val="2"/>
      <scheme val="minor"/>
    </font>
    <font>
      <sz val="14"/>
      <color theme="1"/>
      <name val="Calibri"/>
      <family val="2"/>
      <scheme val="minor"/>
    </font>
    <font>
      <sz val="10"/>
      <name val="Calibri"/>
      <family val="2"/>
      <scheme val="minor"/>
    </font>
    <font>
      <b/>
      <sz val="16"/>
      <color indexed="8"/>
      <name val="Calibri"/>
      <family val="2"/>
      <scheme val="minor"/>
    </font>
    <font>
      <sz val="8"/>
      <name val="Calibri"/>
      <family val="2"/>
      <scheme val="minor"/>
    </font>
    <font>
      <b/>
      <u/>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b/>
      <sz val="10"/>
      <name val="Calibri"/>
      <family val="2"/>
      <scheme val="minor"/>
    </font>
    <font>
      <b/>
      <sz val="11"/>
      <color indexed="8"/>
      <name val="Calibri"/>
      <family val="2"/>
      <scheme val="minor"/>
    </font>
    <font>
      <b/>
      <sz val="12"/>
      <color theme="1"/>
      <name val="Calibri"/>
      <family val="2"/>
      <scheme val="minor"/>
    </font>
    <font>
      <sz val="11"/>
      <color theme="0" tint="-0.499984740745262"/>
      <name val="Calibri"/>
      <family val="2"/>
      <scheme val="minor"/>
    </font>
    <font>
      <sz val="9"/>
      <name val="Calibri"/>
      <family val="2"/>
      <scheme val="minor"/>
    </font>
    <font>
      <i/>
      <sz val="10"/>
      <color theme="1"/>
      <name val="Calibri"/>
      <family val="2"/>
      <scheme val="minor"/>
    </font>
    <font>
      <b/>
      <sz val="9"/>
      <name val="Calibri"/>
      <family val="2"/>
      <scheme val="minor"/>
    </font>
    <font>
      <b/>
      <sz val="8"/>
      <color indexed="81"/>
      <name val="Tahoma"/>
      <family val="2"/>
    </font>
    <font>
      <sz val="8"/>
      <color indexed="81"/>
      <name val="Tahoma"/>
      <family val="2"/>
    </font>
    <font>
      <b/>
      <sz val="20"/>
      <color theme="1"/>
      <name val="Calibri"/>
      <family val="2"/>
      <scheme val="minor"/>
    </font>
    <font>
      <b/>
      <sz val="20"/>
      <color indexed="8"/>
      <name val="Calibri"/>
      <family val="2"/>
      <scheme val="minor"/>
    </font>
    <font>
      <i/>
      <sz val="11"/>
      <name val="Calibri"/>
      <family val="2"/>
      <scheme val="minor"/>
    </font>
    <font>
      <sz val="12"/>
      <name val="Calibri"/>
      <family val="2"/>
      <scheme val="minor"/>
    </font>
    <font>
      <b/>
      <i/>
      <sz val="11"/>
      <name val="Calibri"/>
      <family val="2"/>
      <scheme val="minor"/>
    </font>
    <font>
      <sz val="11"/>
      <color indexed="8"/>
      <name val="Calibri"/>
      <family val="2"/>
      <scheme val="minor"/>
    </font>
    <font>
      <sz val="9"/>
      <color indexed="81"/>
      <name val="Tahoma"/>
      <family val="2"/>
    </font>
    <font>
      <sz val="10"/>
      <color rgb="FFFF0000"/>
      <name val="Calibri"/>
      <family val="2"/>
      <scheme val="minor"/>
    </font>
    <font>
      <i/>
      <sz val="11"/>
      <color theme="1"/>
      <name val="Calibri"/>
      <family val="2"/>
      <scheme val="minor"/>
    </font>
    <font>
      <i/>
      <sz val="11"/>
      <color theme="0" tint="-0.499984740745262"/>
      <name val="Calibri"/>
      <family val="2"/>
      <scheme val="minor"/>
    </font>
    <font>
      <i/>
      <u/>
      <sz val="11"/>
      <name val="Calibri"/>
      <family val="2"/>
      <scheme val="minor"/>
    </font>
    <font>
      <b/>
      <sz val="20"/>
      <name val="Calibri"/>
      <family val="2"/>
      <scheme val="minor"/>
    </font>
    <font>
      <b/>
      <u/>
      <sz val="12"/>
      <name val="Calibri"/>
      <family val="2"/>
      <scheme val="minor"/>
    </font>
    <font>
      <b/>
      <i/>
      <sz val="12"/>
      <name val="Calibri"/>
      <family val="2"/>
      <scheme val="minor"/>
    </font>
    <font>
      <b/>
      <i/>
      <u/>
      <sz val="12"/>
      <name val="Calibri"/>
      <family val="2"/>
      <scheme val="minor"/>
    </font>
    <font>
      <b/>
      <sz val="14"/>
      <color theme="0" tint="-0.499984740745262"/>
      <name val="Calibri"/>
      <family val="2"/>
      <scheme val="minor"/>
    </font>
    <font>
      <i/>
      <sz val="8"/>
      <color theme="1"/>
      <name val="Calibri"/>
      <family val="2"/>
      <scheme val="minor"/>
    </font>
    <font>
      <b/>
      <sz val="16"/>
      <name val="Calibri"/>
      <family val="2"/>
      <scheme val="minor"/>
    </font>
    <font>
      <b/>
      <sz val="24"/>
      <name val="Calibri"/>
      <family val="2"/>
      <scheme val="minor"/>
    </font>
    <font>
      <b/>
      <sz val="10"/>
      <color rgb="FFFF0000"/>
      <name val="Calibri"/>
      <family val="2"/>
      <scheme val="minor"/>
    </font>
    <font>
      <sz val="24"/>
      <name val="Calibri"/>
      <family val="2"/>
      <scheme val="minor"/>
    </font>
    <font>
      <u/>
      <sz val="11"/>
      <name val="Calibri"/>
      <family val="2"/>
      <scheme val="minor"/>
    </font>
    <font>
      <b/>
      <u/>
      <sz val="11"/>
      <name val="Calibri"/>
      <family val="2"/>
      <scheme val="minor"/>
    </font>
    <font>
      <b/>
      <sz val="16"/>
      <color theme="1"/>
      <name val="Calibri"/>
      <family val="2"/>
      <scheme val="minor"/>
    </font>
    <font>
      <sz val="11"/>
      <color theme="0"/>
      <name val="Calibri"/>
      <family val="2"/>
      <scheme val="minor"/>
    </font>
    <font>
      <strike/>
      <sz val="11"/>
      <color rgb="FFFF0000"/>
      <name val="Calibri"/>
      <family val="2"/>
      <scheme val="minor"/>
    </font>
    <font>
      <b/>
      <sz val="9"/>
      <color indexed="81"/>
      <name val="Tahoma"/>
      <family val="2"/>
    </font>
    <font>
      <b/>
      <u/>
      <sz val="9"/>
      <color indexed="81"/>
      <name val="Tahoma"/>
      <family val="2"/>
    </font>
    <font>
      <sz val="9"/>
      <color indexed="81"/>
      <name val="Segoe UI"/>
      <family val="2"/>
    </font>
    <font>
      <b/>
      <sz val="9"/>
      <color indexed="81"/>
      <name val="Segoe UI"/>
      <family val="2"/>
    </font>
    <font>
      <b/>
      <u/>
      <sz val="9"/>
      <color indexed="81"/>
      <name val="Segoe UI"/>
      <family val="2"/>
    </font>
    <font>
      <b/>
      <sz val="10"/>
      <color theme="1"/>
      <name val="Calibri"/>
      <family val="2"/>
      <scheme val="minor"/>
    </font>
    <font>
      <sz val="4"/>
      <name val="Calibri"/>
      <family val="2"/>
      <scheme val="minor"/>
    </font>
    <font>
      <b/>
      <sz val="4"/>
      <name val="Calibri"/>
      <family val="2"/>
      <scheme val="minor"/>
    </font>
    <font>
      <b/>
      <sz val="6"/>
      <name val="Calibri"/>
      <family val="2"/>
      <scheme val="minor"/>
    </font>
    <font>
      <sz val="6"/>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lightUp">
        <fgColor rgb="FFFFFF66"/>
        <bgColor theme="0" tint="-0.14996795556505021"/>
      </patternFill>
    </fill>
    <fill>
      <patternFill patternType="solid">
        <fgColor theme="0" tint="-4.9989318521683403E-2"/>
        <bgColor indexed="64"/>
      </patternFill>
    </fill>
    <fill>
      <patternFill patternType="solid">
        <fgColor rgb="FFDAE7F6"/>
        <bgColor indexed="64"/>
      </patternFill>
    </fill>
    <fill>
      <patternFill patternType="solid">
        <fgColor rgb="FFDAE7F6"/>
        <bgColor rgb="FFFFFF66"/>
      </patternFill>
    </fill>
    <fill>
      <patternFill patternType="solid">
        <fgColor theme="0" tint="-0.14993743705557422"/>
        <bgColor theme="0"/>
      </patternFill>
    </fill>
    <fill>
      <patternFill patternType="solid">
        <fgColor theme="0" tint="-0.14993743705557422"/>
        <bgColor auto="1"/>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thick">
        <color indexed="64"/>
      </top>
      <bottom/>
      <diagonal/>
    </border>
    <border>
      <left/>
      <right/>
      <top/>
      <bottom style="thick">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168" fontId="5" fillId="0" borderId="0" applyFont="0" applyFill="0" applyBorder="0" applyAlignment="0" applyProtection="0"/>
  </cellStyleXfs>
  <cellXfs count="1097">
    <xf numFmtId="0" fontId="0" fillId="0" borderId="0" xfId="0"/>
    <xf numFmtId="0" fontId="7" fillId="4" borderId="4" xfId="0" applyFont="1" applyFill="1" applyBorder="1" applyProtection="1"/>
    <xf numFmtId="0" fontId="41" fillId="4" borderId="0" xfId="0" applyFont="1" applyFill="1" applyBorder="1" applyProtection="1"/>
    <xf numFmtId="0" fontId="7" fillId="4" borderId="0" xfId="0" applyFont="1" applyFill="1" applyBorder="1" applyProtection="1"/>
    <xf numFmtId="0" fontId="10" fillId="4" borderId="36" xfId="0" applyFont="1" applyFill="1" applyBorder="1" applyAlignment="1" applyProtection="1">
      <alignment horizontal="left"/>
    </xf>
    <xf numFmtId="0" fontId="10" fillId="4" borderId="27" xfId="0" applyFont="1" applyFill="1" applyBorder="1" applyProtection="1"/>
    <xf numFmtId="0" fontId="10" fillId="0" borderId="31" xfId="0" applyFont="1" applyFill="1" applyBorder="1" applyAlignment="1" applyProtection="1">
      <alignment horizontal="right"/>
    </xf>
    <xf numFmtId="0" fontId="7" fillId="4" borderId="11" xfId="0" applyFont="1" applyFill="1" applyBorder="1" applyProtection="1"/>
    <xf numFmtId="44" fontId="7" fillId="4" borderId="2" xfId="0" applyNumberFormat="1" applyFont="1" applyFill="1" applyBorder="1" applyProtection="1"/>
    <xf numFmtId="1" fontId="7" fillId="4" borderId="2" xfId="0" applyNumberFormat="1" applyFont="1" applyFill="1" applyBorder="1" applyAlignment="1" applyProtection="1">
      <alignment horizontal="right"/>
    </xf>
    <xf numFmtId="44" fontId="7" fillId="0" borderId="60" xfId="0" applyNumberFormat="1" applyFont="1" applyFill="1" applyBorder="1" applyProtection="1"/>
    <xf numFmtId="1" fontId="7" fillId="0" borderId="12" xfId="0" applyNumberFormat="1" applyFont="1" applyFill="1" applyBorder="1" applyAlignment="1" applyProtection="1">
      <alignment horizontal="center" wrapText="1"/>
    </xf>
    <xf numFmtId="44" fontId="7" fillId="0" borderId="63" xfId="0" applyNumberFormat="1" applyFont="1" applyFill="1" applyBorder="1" applyProtection="1"/>
    <xf numFmtId="0" fontId="11" fillId="4" borderId="7" xfId="0" applyFont="1" applyFill="1" applyBorder="1" applyProtection="1"/>
    <xf numFmtId="0" fontId="10" fillId="4" borderId="14" xfId="0" applyFont="1" applyFill="1" applyBorder="1" applyProtection="1"/>
    <xf numFmtId="0" fontId="10" fillId="4" borderId="15" xfId="0" applyFont="1" applyFill="1" applyBorder="1" applyProtection="1"/>
    <xf numFmtId="0" fontId="11" fillId="4" borderId="2" xfId="0" applyFont="1" applyFill="1" applyBorder="1" applyAlignment="1" applyProtection="1">
      <alignment horizontal="center" wrapText="1"/>
    </xf>
    <xf numFmtId="0" fontId="11" fillId="4" borderId="16" xfId="0" applyFont="1" applyFill="1" applyBorder="1" applyAlignment="1" applyProtection="1">
      <alignment horizontal="center" wrapText="1"/>
    </xf>
    <xf numFmtId="0" fontId="10" fillId="4" borderId="2" xfId="0" applyFont="1" applyFill="1" applyBorder="1" applyAlignment="1" applyProtection="1">
      <alignment horizontal="center" wrapText="1"/>
    </xf>
    <xf numFmtId="1" fontId="10" fillId="4" borderId="16" xfId="0" applyNumberFormat="1" applyFont="1" applyFill="1" applyBorder="1" applyAlignment="1" applyProtection="1">
      <alignment horizontal="center" wrapText="1"/>
    </xf>
    <xf numFmtId="0" fontId="10" fillId="2" borderId="2" xfId="0" applyFont="1" applyFill="1" applyBorder="1" applyProtection="1"/>
    <xf numFmtId="0" fontId="10" fillId="2" borderId="16" xfId="0" applyFont="1" applyFill="1" applyBorder="1" applyProtection="1"/>
    <xf numFmtId="44" fontId="10" fillId="2" borderId="2" xfId="0" applyNumberFormat="1" applyFont="1" applyFill="1" applyBorder="1" applyAlignment="1" applyProtection="1">
      <alignment horizontal="right"/>
    </xf>
    <xf numFmtId="0" fontId="10" fillId="2" borderId="18" xfId="0" applyFont="1" applyFill="1" applyBorder="1" applyProtection="1"/>
    <xf numFmtId="44" fontId="10" fillId="2" borderId="13" xfId="0" applyNumberFormat="1" applyFont="1" applyFill="1" applyBorder="1" applyAlignment="1" applyProtection="1">
      <alignment horizontal="right"/>
    </xf>
    <xf numFmtId="0" fontId="10" fillId="2" borderId="12" xfId="0" applyFont="1" applyFill="1" applyBorder="1" applyProtection="1"/>
    <xf numFmtId="0" fontId="10" fillId="2" borderId="38" xfId="0" applyFont="1" applyFill="1" applyBorder="1" applyProtection="1"/>
    <xf numFmtId="44" fontId="10" fillId="2" borderId="12" xfId="0" applyNumberFormat="1" applyFont="1" applyFill="1" applyBorder="1" applyAlignment="1" applyProtection="1">
      <alignment horizontal="right"/>
    </xf>
    <xf numFmtId="0" fontId="10" fillId="4" borderId="7" xfId="0" applyFont="1" applyFill="1" applyBorder="1" applyProtection="1"/>
    <xf numFmtId="0" fontId="10" fillId="4" borderId="1" xfId="0" applyFont="1" applyFill="1" applyBorder="1" applyProtection="1"/>
    <xf numFmtId="44" fontId="10" fillId="2" borderId="8" xfId="0" applyNumberFormat="1" applyFont="1" applyFill="1" applyBorder="1" applyAlignment="1" applyProtection="1">
      <alignment horizontal="right"/>
    </xf>
    <xf numFmtId="0" fontId="7" fillId="4" borderId="6" xfId="0" applyFont="1" applyFill="1" applyBorder="1" applyProtection="1"/>
    <xf numFmtId="0" fontId="7" fillId="4" borderId="0" xfId="0" applyFont="1" applyFill="1" applyBorder="1" applyAlignment="1" applyProtection="1">
      <alignment horizontal="right"/>
    </xf>
    <xf numFmtId="0" fontId="7" fillId="4" borderId="11" xfId="0" applyFont="1" applyFill="1" applyBorder="1" applyAlignment="1" applyProtection="1">
      <alignment horizontal="right"/>
    </xf>
    <xf numFmtId="0" fontId="10" fillId="2" borderId="67" xfId="0" applyFont="1" applyFill="1" applyBorder="1" applyProtection="1"/>
    <xf numFmtId="0" fontId="10" fillId="2" borderId="64" xfId="0" applyFont="1" applyFill="1" applyBorder="1" applyProtection="1"/>
    <xf numFmtId="0" fontId="7" fillId="2" borderId="65" xfId="0" applyFont="1" applyFill="1" applyBorder="1" applyProtection="1"/>
    <xf numFmtId="0" fontId="7" fillId="4" borderId="0" xfId="0" applyFont="1" applyFill="1" applyBorder="1" applyAlignment="1" applyProtection="1">
      <alignment horizontal="left"/>
    </xf>
    <xf numFmtId="0" fontId="7" fillId="2" borderId="1" xfId="0" applyFont="1" applyFill="1" applyBorder="1" applyProtection="1"/>
    <xf numFmtId="0" fontId="10" fillId="2" borderId="6" xfId="0" applyFont="1" applyFill="1" applyBorder="1" applyProtection="1"/>
    <xf numFmtId="0" fontId="10" fillId="2" borderId="68" xfId="0" applyFont="1" applyFill="1" applyBorder="1" applyProtection="1"/>
    <xf numFmtId="0" fontId="10" fillId="2" borderId="65" xfId="0" applyFont="1" applyFill="1" applyBorder="1" applyProtection="1"/>
    <xf numFmtId="0" fontId="10" fillId="4" borderId="26" xfId="0" applyFont="1" applyFill="1" applyBorder="1" applyProtection="1"/>
    <xf numFmtId="0" fontId="7" fillId="4" borderId="37" xfId="0" applyFont="1" applyFill="1" applyBorder="1" applyProtection="1"/>
    <xf numFmtId="44" fontId="10" fillId="4" borderId="28" xfId="0" applyNumberFormat="1" applyFont="1" applyFill="1" applyBorder="1" applyProtection="1"/>
    <xf numFmtId="44" fontId="10" fillId="4" borderId="25" xfId="0" applyNumberFormat="1" applyFont="1" applyFill="1" applyBorder="1" applyProtection="1"/>
    <xf numFmtId="44" fontId="10" fillId="4" borderId="66" xfId="0" applyNumberFormat="1" applyFont="1" applyFill="1" applyBorder="1" applyProtection="1"/>
    <xf numFmtId="0" fontId="10" fillId="4" borderId="6" xfId="0" applyFont="1" applyFill="1" applyBorder="1" applyProtection="1"/>
    <xf numFmtId="0" fontId="10" fillId="4" borderId="0" xfId="0" applyFont="1" applyFill="1" applyBorder="1" applyProtection="1"/>
    <xf numFmtId="0" fontId="7" fillId="4" borderId="0" xfId="0" applyFont="1" applyFill="1" applyBorder="1" applyAlignment="1" applyProtection="1">
      <alignment wrapText="1"/>
    </xf>
    <xf numFmtId="44" fontId="11" fillId="2" borderId="2" xfId="0" applyNumberFormat="1" applyFont="1" applyFill="1" applyBorder="1" applyProtection="1"/>
    <xf numFmtId="44" fontId="11" fillId="2" borderId="12" xfId="0" applyNumberFormat="1" applyFont="1" applyFill="1" applyBorder="1" applyProtection="1"/>
    <xf numFmtId="0" fontId="11" fillId="4" borderId="20" xfId="0" applyFont="1" applyFill="1" applyBorder="1" applyProtection="1"/>
    <xf numFmtId="0" fontId="11" fillId="4" borderId="10" xfId="0" applyFont="1" applyFill="1" applyBorder="1" applyProtection="1"/>
    <xf numFmtId="44" fontId="11" fillId="4" borderId="39" xfId="0" applyNumberFormat="1" applyFont="1" applyFill="1" applyBorder="1" applyProtection="1"/>
    <xf numFmtId="44" fontId="7" fillId="2" borderId="19" xfId="0" applyNumberFormat="1" applyFont="1" applyFill="1" applyBorder="1" applyProtection="1"/>
    <xf numFmtId="1" fontId="7" fillId="2" borderId="19" xfId="0" applyNumberFormat="1" applyFont="1" applyFill="1" applyBorder="1" applyAlignment="1" applyProtection="1">
      <alignment horizontal="center"/>
    </xf>
    <xf numFmtId="44" fontId="7" fillId="2" borderId="62" xfId="0" applyNumberFormat="1" applyFont="1" applyFill="1" applyBorder="1" applyProtection="1"/>
    <xf numFmtId="44" fontId="10" fillId="6" borderId="12" xfId="0" applyNumberFormat="1" applyFont="1" applyFill="1" applyBorder="1" applyProtection="1"/>
    <xf numFmtId="0" fontId="11" fillId="4" borderId="2" xfId="0" applyFont="1" applyFill="1" applyBorder="1" applyAlignment="1" applyProtection="1">
      <alignment horizontal="left"/>
    </xf>
    <xf numFmtId="0" fontId="0" fillId="0" borderId="0" xfId="0" applyProtection="1">
      <protection locked="0"/>
    </xf>
    <xf numFmtId="0" fontId="30" fillId="4" borderId="6" xfId="0" applyFont="1" applyFill="1" applyBorder="1" applyProtection="1">
      <protection locked="0"/>
    </xf>
    <xf numFmtId="0" fontId="0" fillId="4" borderId="0" xfId="0" applyFill="1" applyBorder="1" applyProtection="1">
      <protection locked="0"/>
    </xf>
    <xf numFmtId="0" fontId="0" fillId="4" borderId="11" xfId="0" applyFill="1" applyBorder="1" applyProtection="1">
      <protection locked="0"/>
    </xf>
    <xf numFmtId="0" fontId="0" fillId="4" borderId="6" xfId="0" applyFont="1" applyFill="1" applyBorder="1" applyProtection="1">
      <protection locked="0"/>
    </xf>
    <xf numFmtId="1" fontId="7" fillId="3" borderId="2" xfId="0" applyNumberFormat="1" applyFont="1" applyFill="1" applyBorder="1" applyAlignment="1" applyProtection="1">
      <alignment horizontal="left"/>
      <protection locked="0"/>
    </xf>
    <xf numFmtId="0" fontId="0" fillId="4" borderId="6" xfId="0" applyFill="1" applyBorder="1" applyProtection="1">
      <protection locked="0"/>
    </xf>
    <xf numFmtId="0" fontId="0" fillId="0" borderId="7" xfId="0" applyBorder="1" applyProtection="1">
      <protection locked="0"/>
    </xf>
    <xf numFmtId="0" fontId="0" fillId="0" borderId="1" xfId="0" applyBorder="1" applyProtection="1">
      <protection locked="0"/>
    </xf>
    <xf numFmtId="0" fontId="0" fillId="0" borderId="17" xfId="0" applyBorder="1" applyProtection="1">
      <protection locked="0"/>
    </xf>
    <xf numFmtId="0" fontId="7" fillId="4" borderId="4" xfId="0" applyFont="1" applyFill="1" applyBorder="1" applyProtection="1">
      <protection locked="0"/>
    </xf>
    <xf numFmtId="0" fontId="2" fillId="0" borderId="0" xfId="0" applyFont="1" applyProtection="1">
      <protection locked="0"/>
    </xf>
    <xf numFmtId="0" fontId="0" fillId="0" borderId="0" xfId="0" applyAlignment="1" applyProtection="1">
      <alignment horizontal="right"/>
      <protection locked="0"/>
    </xf>
    <xf numFmtId="0" fontId="41" fillId="4" borderId="6" xfId="0" applyFont="1" applyFill="1" applyBorder="1" applyProtection="1">
      <protection locked="0"/>
    </xf>
    <xf numFmtId="0" fontId="7" fillId="4" borderId="0" xfId="0" applyFont="1" applyFill="1" applyBorder="1" applyProtection="1">
      <protection locked="0"/>
    </xf>
    <xf numFmtId="0" fontId="7" fillId="4" borderId="11" xfId="0" applyFont="1" applyFill="1" applyBorder="1" applyProtection="1">
      <protection locked="0"/>
    </xf>
    <xf numFmtId="0" fontId="37" fillId="0" borderId="0" xfId="3" applyFont="1" applyFill="1" applyProtection="1">
      <protection locked="0"/>
    </xf>
    <xf numFmtId="0" fontId="19" fillId="0" borderId="0" xfId="0" applyFont="1" applyAlignment="1" applyProtection="1">
      <alignment horizontal="right"/>
      <protection locked="0"/>
    </xf>
    <xf numFmtId="0" fontId="19" fillId="0" borderId="0" xfId="0" applyFont="1" applyProtection="1">
      <protection locked="0"/>
    </xf>
    <xf numFmtId="0" fontId="7" fillId="0" borderId="0" xfId="0" applyFont="1" applyBorder="1" applyProtection="1">
      <protection locked="0"/>
    </xf>
    <xf numFmtId="44" fontId="19" fillId="0" borderId="0" xfId="0" applyNumberFormat="1" applyFont="1" applyAlignment="1" applyProtection="1">
      <alignment horizontal="right"/>
      <protection locked="0"/>
    </xf>
    <xf numFmtId="0" fontId="2" fillId="4" borderId="11" xfId="0" applyFont="1" applyFill="1" applyBorder="1" applyProtection="1">
      <protection locked="0"/>
    </xf>
    <xf numFmtId="0" fontId="0" fillId="0" borderId="0" xfId="0" applyFill="1" applyProtection="1">
      <protection locked="0"/>
    </xf>
    <xf numFmtId="0" fontId="19" fillId="0" borderId="0" xfId="0" applyFont="1" applyFill="1" applyAlignment="1" applyProtection="1">
      <alignment horizontal="right"/>
      <protection locked="0"/>
    </xf>
    <xf numFmtId="0" fontId="19" fillId="0" borderId="0" xfId="0" applyFont="1" applyFill="1" applyProtection="1">
      <protection locked="0"/>
    </xf>
    <xf numFmtId="0" fontId="11" fillId="4" borderId="7" xfId="0" applyFont="1" applyFill="1" applyBorder="1" applyProtection="1">
      <protection locked="0"/>
    </xf>
    <xf numFmtId="0" fontId="7" fillId="4" borderId="1" xfId="0" applyFont="1" applyFill="1" applyBorder="1" applyProtection="1">
      <protection locked="0"/>
    </xf>
    <xf numFmtId="0" fontId="10" fillId="0" borderId="2" xfId="0" applyFont="1" applyBorder="1" applyProtection="1"/>
    <xf numFmtId="0" fontId="9" fillId="4" borderId="2" xfId="0" applyFont="1" applyFill="1" applyBorder="1" applyAlignment="1" applyProtection="1">
      <alignment horizontal="center"/>
    </xf>
    <xf numFmtId="0" fontId="10" fillId="0" borderId="14" xfId="0" applyFont="1" applyBorder="1" applyProtection="1"/>
    <xf numFmtId="0" fontId="7" fillId="4" borderId="15" xfId="0" applyFont="1" applyFill="1" applyBorder="1" applyAlignment="1" applyProtection="1">
      <alignment horizontal="center" wrapText="1"/>
    </xf>
    <xf numFmtId="0" fontId="7" fillId="4" borderId="15" xfId="0" applyFont="1" applyFill="1" applyBorder="1" applyAlignment="1" applyProtection="1">
      <alignment horizontal="center"/>
    </xf>
    <xf numFmtId="0" fontId="10" fillId="4" borderId="16" xfId="0" applyFont="1" applyFill="1" applyBorder="1" applyAlignment="1" applyProtection="1">
      <alignment horizontal="center"/>
    </xf>
    <xf numFmtId="0" fontId="14" fillId="4" borderId="15" xfId="0" applyFont="1" applyFill="1" applyBorder="1" applyAlignment="1" applyProtection="1">
      <alignment horizontal="left"/>
    </xf>
    <xf numFmtId="0" fontId="7" fillId="4" borderId="16" xfId="0" applyFont="1" applyFill="1" applyBorder="1" applyAlignment="1" applyProtection="1">
      <alignment horizontal="center"/>
    </xf>
    <xf numFmtId="2" fontId="10" fillId="2" borderId="2" xfId="0" applyNumberFormat="1" applyFont="1" applyFill="1" applyBorder="1" applyAlignment="1" applyProtection="1">
      <alignment horizontal="right" wrapText="1"/>
    </xf>
    <xf numFmtId="2" fontId="10" fillId="4" borderId="2" xfId="0" applyNumberFormat="1" applyFont="1" applyFill="1" applyBorder="1" applyAlignment="1" applyProtection="1">
      <alignment horizontal="right" wrapText="1"/>
    </xf>
    <xf numFmtId="2" fontId="10" fillId="4" borderId="2" xfId="0" applyNumberFormat="1" applyFont="1" applyFill="1" applyBorder="1" applyAlignment="1" applyProtection="1">
      <alignment horizontal="right"/>
    </xf>
    <xf numFmtId="44" fontId="9" fillId="4" borderId="2" xfId="0" applyNumberFormat="1" applyFont="1" applyFill="1" applyBorder="1" applyAlignment="1" applyProtection="1">
      <alignment horizontal="right"/>
    </xf>
    <xf numFmtId="44" fontId="10" fillId="4" borderId="8" xfId="0" applyNumberFormat="1" applyFont="1" applyFill="1" applyBorder="1" applyAlignment="1" applyProtection="1">
      <alignment horizontal="right"/>
    </xf>
    <xf numFmtId="0" fontId="7" fillId="4" borderId="2" xfId="0" applyFont="1" applyFill="1" applyBorder="1" applyAlignment="1" applyProtection="1">
      <alignment horizontal="center" vertical="top" wrapText="1"/>
    </xf>
    <xf numFmtId="0" fontId="2" fillId="0" borderId="6" xfId="0" applyFont="1" applyBorder="1" applyAlignment="1" applyProtection="1">
      <alignment horizontal="left"/>
    </xf>
    <xf numFmtId="0" fontId="7" fillId="0" borderId="0" xfId="0" applyFont="1" applyBorder="1" applyProtection="1"/>
    <xf numFmtId="0" fontId="7" fillId="2" borderId="2" xfId="0" applyFont="1" applyFill="1" applyBorder="1" applyAlignment="1" applyProtection="1">
      <alignment wrapText="1"/>
    </xf>
    <xf numFmtId="0" fontId="7" fillId="2" borderId="2" xfId="0" applyFont="1" applyFill="1" applyBorder="1" applyProtection="1"/>
    <xf numFmtId="0" fontId="7" fillId="2" borderId="12" xfId="0" applyFont="1" applyFill="1" applyBorder="1" applyAlignment="1" applyProtection="1">
      <alignment wrapText="1"/>
    </xf>
    <xf numFmtId="44" fontId="11" fillId="4" borderId="55" xfId="0" applyNumberFormat="1" applyFont="1" applyFill="1" applyBorder="1" applyProtection="1"/>
    <xf numFmtId="0" fontId="19" fillId="0" borderId="0" xfId="0" applyFont="1" applyProtection="1"/>
    <xf numFmtId="0" fontId="19" fillId="0" borderId="0" xfId="0" applyFont="1" applyAlignment="1" applyProtection="1">
      <alignment horizontal="right"/>
    </xf>
    <xf numFmtId="0" fontId="0" fillId="4" borderId="6" xfId="0" applyFont="1" applyFill="1" applyBorder="1" applyProtection="1"/>
    <xf numFmtId="0" fontId="0" fillId="4" borderId="14" xfId="0" applyFill="1" applyBorder="1" applyAlignment="1" applyProtection="1">
      <alignment horizontal="left"/>
    </xf>
    <xf numFmtId="0" fontId="0" fillId="4" borderId="16" xfId="0" applyFill="1" applyBorder="1" applyProtection="1"/>
    <xf numFmtId="0" fontId="0" fillId="4" borderId="4" xfId="0" applyFont="1" applyFill="1" applyBorder="1" applyProtection="1">
      <protection locked="0"/>
    </xf>
    <xf numFmtId="0" fontId="0" fillId="0" borderId="0" xfId="0" applyFont="1" applyProtection="1">
      <protection locked="0"/>
    </xf>
    <xf numFmtId="0" fontId="0" fillId="4" borderId="0" xfId="0" applyFont="1" applyFill="1" applyBorder="1" applyProtection="1">
      <protection locked="0"/>
    </xf>
    <xf numFmtId="0" fontId="0" fillId="4" borderId="15" xfId="0" applyFont="1" applyFill="1" applyBorder="1" applyProtection="1">
      <protection locked="0"/>
    </xf>
    <xf numFmtId="0" fontId="22" fillId="4" borderId="36" xfId="0" applyFont="1" applyFill="1" applyBorder="1" applyProtection="1">
      <protection locked="0"/>
    </xf>
    <xf numFmtId="0" fontId="3" fillId="4" borderId="27" xfId="0" applyFont="1" applyFill="1" applyBorder="1" applyProtection="1">
      <protection locked="0"/>
    </xf>
    <xf numFmtId="0" fontId="3" fillId="0" borderId="31" xfId="0" applyFont="1" applyBorder="1" applyProtection="1">
      <protection locked="0"/>
    </xf>
    <xf numFmtId="0" fontId="3" fillId="0" borderId="0" xfId="0" applyFont="1" applyProtection="1">
      <protection locked="0"/>
    </xf>
    <xf numFmtId="0" fontId="22" fillId="4" borderId="20" xfId="0" applyFont="1" applyFill="1" applyBorder="1" applyProtection="1">
      <protection locked="0"/>
    </xf>
    <xf numFmtId="0" fontId="3" fillId="4" borderId="10" xfId="0" applyFont="1" applyFill="1" applyBorder="1" applyProtection="1">
      <protection locked="0"/>
    </xf>
    <xf numFmtId="0" fontId="8" fillId="0" borderId="37" xfId="0" applyFont="1" applyBorder="1" applyAlignment="1" applyProtection="1">
      <alignment horizontal="right"/>
      <protection locked="0"/>
    </xf>
    <xf numFmtId="49" fontId="0" fillId="3" borderId="2" xfId="0" applyNumberFormat="1" applyFont="1" applyFill="1" applyBorder="1" applyAlignment="1" applyProtection="1">
      <protection locked="0"/>
    </xf>
    <xf numFmtId="49" fontId="0" fillId="3" borderId="2" xfId="0" applyNumberFormat="1" applyFont="1" applyFill="1" applyBorder="1" applyProtection="1">
      <protection locked="0"/>
    </xf>
    <xf numFmtId="2" fontId="0" fillId="3" borderId="2" xfId="0" applyNumberFormat="1" applyFont="1" applyFill="1" applyBorder="1" applyProtection="1">
      <protection locked="0"/>
    </xf>
    <xf numFmtId="0" fontId="23" fillId="3" borderId="24" xfId="0" applyNumberFormat="1" applyFont="1" applyFill="1" applyBorder="1" applyProtection="1">
      <protection locked="0"/>
    </xf>
    <xf numFmtId="0" fontId="0" fillId="3" borderId="24" xfId="0" applyNumberFormat="1" applyFont="1" applyFill="1" applyBorder="1" applyProtection="1">
      <protection locked="0"/>
    </xf>
    <xf numFmtId="2" fontId="19" fillId="0" borderId="0" xfId="0" applyNumberFormat="1" applyFont="1" applyAlignment="1" applyProtection="1">
      <alignment horizontal="left"/>
      <protection locked="0"/>
    </xf>
    <xf numFmtId="0" fontId="23" fillId="4" borderId="26" xfId="0" applyFont="1" applyFill="1" applyBorder="1" applyProtection="1">
      <protection locked="0"/>
    </xf>
    <xf numFmtId="0" fontId="0" fillId="4" borderId="28" xfId="0" applyFont="1" applyFill="1" applyBorder="1" applyProtection="1">
      <protection locked="0"/>
    </xf>
    <xf numFmtId="0" fontId="0" fillId="0" borderId="28" xfId="0" applyFont="1" applyBorder="1" applyProtection="1">
      <protection locked="0"/>
    </xf>
    <xf numFmtId="0" fontId="0" fillId="4" borderId="37" xfId="0" applyFont="1" applyFill="1" applyBorder="1" applyProtection="1">
      <protection locked="0"/>
    </xf>
    <xf numFmtId="0" fontId="23" fillId="3" borderId="2" xfId="0" applyNumberFormat="1" applyFont="1" applyFill="1" applyBorder="1" applyProtection="1">
      <protection locked="0"/>
    </xf>
    <xf numFmtId="0" fontId="0" fillId="3" borderId="2" xfId="0" applyNumberFormat="1" applyFont="1" applyFill="1" applyBorder="1" applyProtection="1">
      <protection locked="0"/>
    </xf>
    <xf numFmtId="0" fontId="7" fillId="0" borderId="0" xfId="0" applyFont="1" applyProtection="1">
      <protection locked="0"/>
    </xf>
    <xf numFmtId="0" fontId="7" fillId="3" borderId="2" xfId="0" quotePrefix="1" applyNumberFormat="1" applyFont="1" applyFill="1" applyBorder="1" applyProtection="1">
      <protection locked="0"/>
    </xf>
    <xf numFmtId="0" fontId="7" fillId="3" borderId="2" xfId="0" applyNumberFormat="1" applyFont="1" applyFill="1" applyBorder="1" applyProtection="1">
      <protection locked="0"/>
    </xf>
    <xf numFmtId="2" fontId="7" fillId="3" borderId="2" xfId="0" applyNumberFormat="1" applyFont="1" applyFill="1" applyBorder="1" applyProtection="1">
      <protection locked="0"/>
    </xf>
    <xf numFmtId="0" fontId="11" fillId="3" borderId="24" xfId="0" applyNumberFormat="1" applyFont="1" applyFill="1" applyBorder="1" applyProtection="1">
      <protection locked="0"/>
    </xf>
    <xf numFmtId="0" fontId="7" fillId="3" borderId="24" xfId="0" applyNumberFormat="1" applyFont="1" applyFill="1" applyBorder="1" applyProtection="1">
      <protection locked="0"/>
    </xf>
    <xf numFmtId="2" fontId="7" fillId="3" borderId="24" xfId="0" applyNumberFormat="1" applyFont="1" applyFill="1" applyBorder="1" applyProtection="1">
      <protection locked="0"/>
    </xf>
    <xf numFmtId="0" fontId="16" fillId="0" borderId="0" xfId="0" applyFont="1" applyAlignment="1" applyProtection="1">
      <alignment horizontal="right"/>
      <protection locked="0"/>
    </xf>
    <xf numFmtId="0" fontId="18" fillId="4" borderId="26" xfId="0" applyFont="1" applyFill="1" applyBorder="1" applyProtection="1">
      <protection locked="0"/>
    </xf>
    <xf numFmtId="0" fontId="7" fillId="4" borderId="28" xfId="0" applyFont="1" applyFill="1" applyBorder="1" applyProtection="1">
      <protection locked="0"/>
    </xf>
    <xf numFmtId="0" fontId="7" fillId="0" borderId="28" xfId="0" applyFont="1" applyBorder="1" applyProtection="1">
      <protection locked="0"/>
    </xf>
    <xf numFmtId="0" fontId="7" fillId="4" borderId="37" xfId="0" applyFont="1" applyFill="1" applyBorder="1" applyProtection="1">
      <protection locked="0"/>
    </xf>
    <xf numFmtId="49" fontId="7" fillId="3" borderId="2" xfId="0" quotePrefix="1" applyNumberFormat="1" applyFont="1" applyFill="1" applyBorder="1" applyAlignment="1" applyProtection="1">
      <protection locked="0"/>
    </xf>
    <xf numFmtId="49" fontId="7" fillId="3" borderId="2" xfId="0" applyNumberFormat="1" applyFont="1" applyFill="1" applyBorder="1" applyProtection="1">
      <protection locked="0"/>
    </xf>
    <xf numFmtId="0" fontId="7" fillId="3" borderId="2" xfId="0" quotePrefix="1" applyNumberFormat="1" applyFont="1" applyFill="1" applyBorder="1" applyAlignment="1" applyProtection="1">
      <protection locked="0"/>
    </xf>
    <xf numFmtId="0" fontId="18" fillId="3" borderId="2" xfId="0" applyNumberFormat="1" applyFont="1" applyFill="1" applyBorder="1" applyProtection="1">
      <protection locked="0"/>
    </xf>
    <xf numFmtId="2" fontId="25" fillId="0" borderId="0" xfId="0" applyNumberFormat="1" applyFont="1" applyAlignment="1" applyProtection="1">
      <alignment horizontal="left"/>
      <protection locked="0"/>
    </xf>
    <xf numFmtId="0" fontId="7" fillId="4" borderId="17" xfId="0" applyFont="1" applyFill="1" applyBorder="1" applyProtection="1">
      <protection locked="0"/>
    </xf>
    <xf numFmtId="0" fontId="7" fillId="4" borderId="0" xfId="0" applyFont="1" applyFill="1" applyProtection="1">
      <protection locked="0"/>
    </xf>
    <xf numFmtId="0" fontId="32" fillId="0" borderId="0" xfId="0" applyFont="1" applyProtection="1">
      <protection locked="0"/>
    </xf>
    <xf numFmtId="44" fontId="32" fillId="0" borderId="0" xfId="0" applyNumberFormat="1" applyFont="1" applyProtection="1">
      <protection locked="0"/>
    </xf>
    <xf numFmtId="9" fontId="3" fillId="2" borderId="19" xfId="0" applyNumberFormat="1" applyFont="1" applyFill="1" applyBorder="1" applyAlignment="1" applyProtection="1">
      <alignment horizontal="center"/>
    </xf>
    <xf numFmtId="9" fontId="12" fillId="2" borderId="19" xfId="0" applyNumberFormat="1" applyFont="1" applyFill="1" applyBorder="1" applyAlignment="1" applyProtection="1">
      <alignment horizontal="center"/>
    </xf>
    <xf numFmtId="2" fontId="3" fillId="2" borderId="25" xfId="0" applyNumberFormat="1" applyFont="1" applyFill="1" applyBorder="1" applyProtection="1"/>
    <xf numFmtId="2" fontId="12" fillId="2" borderId="25" xfId="0" applyNumberFormat="1" applyFont="1" applyFill="1" applyBorder="1" applyProtection="1"/>
    <xf numFmtId="2" fontId="19" fillId="0" borderId="0" xfId="0" applyNumberFormat="1" applyFont="1" applyAlignment="1" applyProtection="1">
      <alignment horizontal="left"/>
    </xf>
    <xf numFmtId="9" fontId="12" fillId="2" borderId="25" xfId="0" applyNumberFormat="1" applyFont="1" applyFill="1" applyBorder="1" applyAlignment="1" applyProtection="1">
      <alignment horizontal="center"/>
    </xf>
    <xf numFmtId="9" fontId="3" fillId="2" borderId="25" xfId="0" applyNumberFormat="1" applyFont="1" applyFill="1" applyBorder="1" applyAlignment="1" applyProtection="1">
      <alignment horizontal="center"/>
    </xf>
    <xf numFmtId="2" fontId="11" fillId="2" borderId="19" xfId="0" applyNumberFormat="1" applyFont="1" applyFill="1" applyBorder="1" applyProtection="1"/>
    <xf numFmtId="10" fontId="11" fillId="2" borderId="30" xfId="0" applyNumberFormat="1" applyFont="1" applyFill="1" applyBorder="1" applyProtection="1"/>
    <xf numFmtId="2" fontId="11" fillId="2" borderId="25" xfId="0" applyNumberFormat="1" applyFont="1" applyFill="1" applyBorder="1" applyProtection="1"/>
    <xf numFmtId="10" fontId="12" fillId="2" borderId="30" xfId="0" applyNumberFormat="1" applyFont="1" applyFill="1" applyBorder="1" applyProtection="1"/>
    <xf numFmtId="2" fontId="11" fillId="4" borderId="30" xfId="0" applyNumberFormat="1" applyFont="1" applyFill="1" applyBorder="1" applyProtection="1"/>
    <xf numFmtId="10" fontId="7" fillId="4" borderId="30" xfId="2" applyNumberFormat="1" applyFont="1" applyFill="1" applyBorder="1" applyProtection="1"/>
    <xf numFmtId="2" fontId="7" fillId="4" borderId="5" xfId="0" applyNumberFormat="1" applyFont="1" applyFill="1" applyBorder="1" applyProtection="1"/>
    <xf numFmtId="10" fontId="7" fillId="4" borderId="5" xfId="0" applyNumberFormat="1" applyFont="1" applyFill="1" applyBorder="1" applyProtection="1"/>
    <xf numFmtId="10" fontId="11" fillId="4" borderId="2" xfId="2" applyNumberFormat="1" applyFont="1" applyFill="1" applyBorder="1" applyProtection="1"/>
    <xf numFmtId="2" fontId="7" fillId="4" borderId="8" xfId="0" applyNumberFormat="1" applyFont="1" applyFill="1" applyBorder="1" applyProtection="1"/>
    <xf numFmtId="10" fontId="7" fillId="4" borderId="8" xfId="2" applyNumberFormat="1" applyFont="1" applyFill="1" applyBorder="1" applyProtection="1"/>
    <xf numFmtId="2" fontId="10" fillId="2" borderId="5" xfId="0" applyNumberFormat="1" applyFont="1" applyFill="1" applyBorder="1" applyProtection="1"/>
    <xf numFmtId="2" fontId="11" fillId="2" borderId="8" xfId="0" applyNumberFormat="1" applyFont="1" applyFill="1" applyBorder="1" applyProtection="1"/>
    <xf numFmtId="2" fontId="11" fillId="2" borderId="5" xfId="0" applyNumberFormat="1" applyFont="1" applyFill="1" applyBorder="1" applyProtection="1"/>
    <xf numFmtId="10" fontId="7" fillId="2" borderId="5" xfId="0" applyNumberFormat="1" applyFont="1" applyFill="1" applyBorder="1" applyProtection="1"/>
    <xf numFmtId="2" fontId="10" fillId="2" borderId="60" xfId="0" applyNumberFormat="1" applyFont="1" applyFill="1" applyBorder="1" applyProtection="1"/>
    <xf numFmtId="10" fontId="41" fillId="8" borderId="23" xfId="2" applyNumberFormat="1" applyFont="1" applyFill="1" applyBorder="1" applyProtection="1"/>
    <xf numFmtId="2" fontId="32" fillId="4" borderId="0" xfId="0" applyNumberFormat="1" applyFont="1" applyFill="1" applyBorder="1" applyAlignment="1" applyProtection="1">
      <alignment horizontal="right"/>
    </xf>
    <xf numFmtId="10" fontId="34" fillId="4" borderId="2" xfId="2" applyNumberFormat="1" applyFont="1" applyFill="1" applyBorder="1" applyAlignment="1" applyProtection="1">
      <alignment horizontal="right"/>
    </xf>
    <xf numFmtId="2" fontId="32" fillId="4" borderId="1" xfId="0" applyNumberFormat="1" applyFont="1" applyFill="1" applyBorder="1" applyAlignment="1" applyProtection="1">
      <alignment horizontal="right"/>
    </xf>
    <xf numFmtId="10" fontId="32" fillId="4" borderId="1" xfId="2" applyNumberFormat="1" applyFont="1" applyFill="1" applyBorder="1" applyAlignment="1" applyProtection="1">
      <alignment horizontal="right"/>
    </xf>
    <xf numFmtId="10" fontId="32" fillId="4" borderId="4" xfId="0" applyNumberFormat="1" applyFont="1" applyFill="1" applyBorder="1" applyAlignment="1" applyProtection="1">
      <alignment horizontal="right"/>
    </xf>
    <xf numFmtId="10" fontId="32" fillId="4" borderId="0" xfId="2" applyNumberFormat="1" applyFont="1" applyFill="1" applyBorder="1" applyAlignment="1" applyProtection="1">
      <alignment horizontal="right"/>
    </xf>
    <xf numFmtId="0" fontId="32" fillId="4" borderId="0" xfId="0" applyFont="1" applyFill="1" applyBorder="1" applyAlignment="1" applyProtection="1">
      <alignment horizontal="left"/>
    </xf>
    <xf numFmtId="2" fontId="46" fillId="0" borderId="0" xfId="0" applyNumberFormat="1" applyFont="1" applyAlignment="1" applyProtection="1">
      <alignment horizontal="left"/>
    </xf>
    <xf numFmtId="0" fontId="20" fillId="4" borderId="0" xfId="0" applyFont="1" applyFill="1" applyBorder="1" applyProtection="1">
      <protection locked="0"/>
    </xf>
    <xf numFmtId="0" fontId="3" fillId="0" borderId="0" xfId="0" applyFont="1" applyAlignment="1" applyProtection="1">
      <alignment horizontal="right"/>
      <protection locked="0"/>
    </xf>
    <xf numFmtId="0" fontId="22" fillId="4" borderId="6" xfId="0" applyFont="1" applyFill="1" applyBorder="1" applyProtection="1">
      <protection locked="0"/>
    </xf>
    <xf numFmtId="0" fontId="0" fillId="4" borderId="11" xfId="0" applyFont="1" applyFill="1" applyBorder="1" applyProtection="1">
      <protection locked="0"/>
    </xf>
    <xf numFmtId="0" fontId="4" fillId="0" borderId="0" xfId="0" applyFont="1" applyAlignment="1" applyProtection="1">
      <alignment horizontal="right"/>
      <protection locked="0"/>
    </xf>
    <xf numFmtId="0" fontId="18" fillId="4" borderId="0" xfId="0" applyFont="1" applyFill="1" applyBorder="1" applyProtection="1">
      <protection locked="0"/>
    </xf>
    <xf numFmtId="0" fontId="21" fillId="4" borderId="0" xfId="0" applyFont="1" applyFill="1" applyBorder="1" applyProtection="1">
      <protection locked="0"/>
    </xf>
    <xf numFmtId="165" fontId="11" fillId="2" borderId="2" xfId="0" applyNumberFormat="1" applyFont="1" applyFill="1" applyBorder="1" applyProtection="1">
      <protection locked="0"/>
    </xf>
    <xf numFmtId="44" fontId="0" fillId="3" borderId="2" xfId="1" applyFont="1" applyFill="1" applyBorder="1" applyProtection="1">
      <protection locked="0"/>
    </xf>
    <xf numFmtId="0" fontId="19" fillId="4" borderId="11" xfId="0" applyFont="1" applyFill="1" applyBorder="1" applyProtection="1">
      <protection locked="0"/>
    </xf>
    <xf numFmtId="165" fontId="19" fillId="0" borderId="0" xfId="0" applyNumberFormat="1" applyFont="1" applyProtection="1">
      <protection locked="0"/>
    </xf>
    <xf numFmtId="44" fontId="19" fillId="0" borderId="0" xfId="1" applyFont="1" applyAlignment="1" applyProtection="1">
      <alignment horizontal="left"/>
      <protection locked="0"/>
    </xf>
    <xf numFmtId="0" fontId="18" fillId="4" borderId="6" xfId="0" applyFont="1" applyFill="1" applyBorder="1" applyAlignment="1" applyProtection="1">
      <alignment horizontal="left"/>
      <protection locked="0"/>
    </xf>
    <xf numFmtId="44" fontId="21" fillId="4" borderId="5" xfId="1" applyFont="1" applyFill="1" applyBorder="1" applyProtection="1">
      <protection locked="0"/>
    </xf>
    <xf numFmtId="44" fontId="0" fillId="4" borderId="2" xfId="1" applyFont="1" applyFill="1" applyBorder="1" applyProtection="1">
      <protection locked="0"/>
    </xf>
    <xf numFmtId="0" fontId="6" fillId="4" borderId="0" xfId="0" applyFont="1" applyFill="1" applyBorder="1" applyProtection="1">
      <protection locked="0"/>
    </xf>
    <xf numFmtId="0" fontId="18" fillId="4" borderId="7" xfId="0" applyFont="1" applyFill="1" applyBorder="1" applyAlignment="1" applyProtection="1">
      <alignment horizontal="left"/>
      <protection locked="0"/>
    </xf>
    <xf numFmtId="0" fontId="18" fillId="4" borderId="1" xfId="0" applyFont="1" applyFill="1" applyBorder="1" applyProtection="1">
      <protection locked="0"/>
    </xf>
    <xf numFmtId="0" fontId="21" fillId="4" borderId="1" xfId="0" applyFont="1" applyFill="1" applyBorder="1" applyProtection="1">
      <protection locked="0"/>
    </xf>
    <xf numFmtId="44" fontId="21" fillId="4" borderId="8" xfId="1" applyFont="1" applyFill="1" applyBorder="1" applyProtection="1">
      <protection locked="0"/>
    </xf>
    <xf numFmtId="44" fontId="19" fillId="4" borderId="11" xfId="1" applyFont="1" applyFill="1" applyBorder="1" applyAlignment="1" applyProtection="1">
      <alignment horizontal="left"/>
      <protection locked="0"/>
    </xf>
    <xf numFmtId="165" fontId="19" fillId="4" borderId="11" xfId="0" applyNumberFormat="1" applyFont="1" applyFill="1" applyBorder="1" applyProtection="1">
      <protection locked="0"/>
    </xf>
    <xf numFmtId="44" fontId="19" fillId="0" borderId="0" xfId="0" applyNumberFormat="1" applyFont="1" applyProtection="1">
      <protection locked="0"/>
    </xf>
    <xf numFmtId="0" fontId="26" fillId="4" borderId="11" xfId="0" applyFont="1" applyFill="1" applyBorder="1" applyProtection="1">
      <protection locked="0"/>
    </xf>
    <xf numFmtId="0" fontId="26" fillId="0" borderId="0" xfId="0" applyFont="1" applyProtection="1">
      <protection locked="0"/>
    </xf>
    <xf numFmtId="165" fontId="26" fillId="4" borderId="11" xfId="0" applyNumberFormat="1" applyFont="1" applyFill="1" applyBorder="1" applyProtection="1">
      <protection locked="0"/>
    </xf>
    <xf numFmtId="44" fontId="20" fillId="4" borderId="11" xfId="1" applyFont="1" applyFill="1" applyBorder="1" applyProtection="1">
      <protection locked="0"/>
    </xf>
    <xf numFmtId="44" fontId="20" fillId="4" borderId="0" xfId="1" applyFont="1" applyFill="1" applyBorder="1" applyProtection="1">
      <protection locked="0"/>
    </xf>
    <xf numFmtId="0" fontId="14" fillId="4" borderId="15" xfId="0" applyFont="1" applyFill="1" applyBorder="1" applyProtection="1">
      <protection locked="0"/>
    </xf>
    <xf numFmtId="10" fontId="20" fillId="4" borderId="15" xfId="0" applyNumberFormat="1" applyFont="1" applyFill="1" applyBorder="1" applyProtection="1">
      <protection locked="0"/>
    </xf>
    <xf numFmtId="44" fontId="20" fillId="3" borderId="2" xfId="1" applyFont="1" applyFill="1" applyBorder="1" applyProtection="1">
      <protection locked="0"/>
    </xf>
    <xf numFmtId="0" fontId="20" fillId="4" borderId="15" xfId="0" applyFont="1" applyFill="1" applyBorder="1" applyProtection="1">
      <protection locked="0"/>
    </xf>
    <xf numFmtId="165" fontId="21" fillId="2" borderId="16" xfId="0" applyNumberFormat="1" applyFont="1" applyFill="1" applyBorder="1" applyProtection="1">
      <protection locked="0"/>
    </xf>
    <xf numFmtId="0" fontId="11" fillId="4" borderId="6" xfId="0" applyFont="1" applyFill="1" applyBorder="1" applyProtection="1">
      <protection locked="0"/>
    </xf>
    <xf numFmtId="0" fontId="14" fillId="4" borderId="0" xfId="0" applyFont="1" applyFill="1" applyBorder="1" applyProtection="1">
      <protection locked="0"/>
    </xf>
    <xf numFmtId="0" fontId="21" fillId="4" borderId="11" xfId="0" applyFont="1" applyFill="1" applyBorder="1" applyAlignment="1" applyProtection="1">
      <alignment horizontal="center"/>
      <protection locked="0"/>
    </xf>
    <xf numFmtId="0" fontId="17" fillId="4" borderId="11" xfId="0" applyFont="1" applyFill="1" applyBorder="1" applyProtection="1">
      <protection locked="0"/>
    </xf>
    <xf numFmtId="0" fontId="7" fillId="3" borderId="2" xfId="0" applyFont="1" applyFill="1" applyBorder="1" applyProtection="1">
      <protection locked="0"/>
    </xf>
    <xf numFmtId="44" fontId="0" fillId="3" borderId="14" xfId="1" applyFont="1" applyFill="1" applyBorder="1" applyProtection="1">
      <protection locked="0"/>
    </xf>
    <xf numFmtId="10" fontId="20" fillId="4" borderId="6" xfId="0" applyNumberFormat="1" applyFont="1" applyFill="1" applyBorder="1" applyProtection="1">
      <protection locked="0"/>
    </xf>
    <xf numFmtId="165" fontId="20" fillId="4" borderId="11" xfId="0" applyNumberFormat="1" applyFont="1" applyFill="1" applyBorder="1" applyProtection="1">
      <protection locked="0"/>
    </xf>
    <xf numFmtId="44" fontId="0" fillId="4" borderId="11" xfId="0" applyNumberFormat="1" applyFont="1" applyFill="1" applyBorder="1" applyProtection="1">
      <protection locked="0"/>
    </xf>
    <xf numFmtId="0" fontId="20" fillId="4" borderId="6" xfId="0" applyFont="1" applyFill="1" applyBorder="1" applyProtection="1">
      <protection locked="0"/>
    </xf>
    <xf numFmtId="44" fontId="0" fillId="4" borderId="0" xfId="1" applyFont="1" applyFill="1" applyBorder="1" applyProtection="1">
      <protection locked="0"/>
    </xf>
    <xf numFmtId="0" fontId="20" fillId="4" borderId="11" xfId="0" applyFont="1" applyFill="1" applyBorder="1" applyProtection="1">
      <protection locked="0"/>
    </xf>
    <xf numFmtId="0" fontId="7" fillId="3" borderId="14" xfId="0" applyFont="1" applyFill="1" applyBorder="1" applyProtection="1">
      <protection locked="0"/>
    </xf>
    <xf numFmtId="10" fontId="20" fillId="3" borderId="2" xfId="0" applyNumberFormat="1" applyFont="1" applyFill="1" applyBorder="1" applyProtection="1">
      <protection locked="0"/>
    </xf>
    <xf numFmtId="44" fontId="21" fillId="4" borderId="11" xfId="1" applyFont="1" applyFill="1" applyBorder="1" applyAlignment="1" applyProtection="1">
      <alignment horizontal="center"/>
      <protection locked="0"/>
    </xf>
    <xf numFmtId="0" fontId="14" fillId="0" borderId="6" xfId="0" applyFont="1" applyFill="1" applyBorder="1" applyProtection="1">
      <protection locked="0"/>
    </xf>
    <xf numFmtId="44" fontId="7" fillId="0" borderId="0" xfId="1" applyFont="1" applyFill="1" applyBorder="1" applyProtection="1">
      <protection locked="0"/>
    </xf>
    <xf numFmtId="10" fontId="1" fillId="0" borderId="0" xfId="0" applyNumberFormat="1" applyFont="1" applyFill="1" applyBorder="1" applyProtection="1">
      <protection locked="0"/>
    </xf>
    <xf numFmtId="44" fontId="1" fillId="0" borderId="11" xfId="1" applyFont="1" applyFill="1" applyBorder="1" applyProtection="1">
      <protection locked="0"/>
    </xf>
    <xf numFmtId="0" fontId="0" fillId="0" borderId="0" xfId="0" applyFont="1" applyFill="1" applyProtection="1">
      <protection locked="0"/>
    </xf>
    <xf numFmtId="165" fontId="0" fillId="4" borderId="0" xfId="0" applyNumberFormat="1" applyFont="1" applyFill="1" applyBorder="1" applyProtection="1">
      <protection locked="0"/>
    </xf>
    <xf numFmtId="0" fontId="0" fillId="4" borderId="1" xfId="0" applyFont="1" applyFill="1" applyBorder="1" applyProtection="1">
      <protection locked="0"/>
    </xf>
    <xf numFmtId="165" fontId="20" fillId="4" borderId="0" xfId="0" applyNumberFormat="1" applyFont="1" applyFill="1" applyBorder="1" applyProtection="1">
      <protection locked="0"/>
    </xf>
    <xf numFmtId="0" fontId="0" fillId="4" borderId="14" xfId="0" applyFont="1" applyFill="1" applyBorder="1" applyProtection="1">
      <protection locked="0"/>
    </xf>
    <xf numFmtId="44" fontId="0" fillId="4" borderId="11" xfId="1" applyFont="1" applyFill="1" applyBorder="1" applyProtection="1">
      <protection locked="0"/>
    </xf>
    <xf numFmtId="0" fontId="20" fillId="0" borderId="0" xfId="0" applyFont="1" applyProtection="1">
      <protection locked="0"/>
    </xf>
    <xf numFmtId="44" fontId="11" fillId="2" borderId="2" xfId="1" applyFont="1" applyFill="1" applyBorder="1" applyProtection="1"/>
    <xf numFmtId="10" fontId="25" fillId="4" borderId="0" xfId="2" applyNumberFormat="1" applyFont="1" applyFill="1" applyBorder="1" applyAlignment="1" applyProtection="1">
      <alignment horizontal="left"/>
    </xf>
    <xf numFmtId="44" fontId="19" fillId="0" borderId="0" xfId="1" applyFont="1" applyAlignment="1" applyProtection="1">
      <alignment horizontal="left"/>
    </xf>
    <xf numFmtId="10" fontId="7" fillId="4" borderId="2" xfId="0" applyNumberFormat="1" applyFont="1" applyFill="1" applyBorder="1" applyProtection="1"/>
    <xf numFmtId="44" fontId="0" fillId="4" borderId="2" xfId="1" applyFont="1" applyFill="1" applyBorder="1" applyProtection="1"/>
    <xf numFmtId="44" fontId="0" fillId="4" borderId="8" xfId="1" applyFont="1" applyFill="1" applyBorder="1" applyProtection="1"/>
    <xf numFmtId="10" fontId="21" fillId="2" borderId="2" xfId="2" applyNumberFormat="1" applyFont="1" applyFill="1" applyBorder="1" applyProtection="1"/>
    <xf numFmtId="44" fontId="21" fillId="2" borderId="2" xfId="1" applyFont="1" applyFill="1" applyBorder="1" applyProtection="1"/>
    <xf numFmtId="44" fontId="1" fillId="4" borderId="2" xfId="1" applyFont="1" applyFill="1" applyBorder="1" applyProtection="1"/>
    <xf numFmtId="10" fontId="21" fillId="2" borderId="15" xfId="2" applyNumberFormat="1" applyFont="1" applyFill="1" applyBorder="1" applyProtection="1"/>
    <xf numFmtId="10" fontId="14" fillId="4" borderId="5" xfId="0" applyNumberFormat="1" applyFont="1" applyFill="1" applyBorder="1" applyProtection="1"/>
    <xf numFmtId="44" fontId="20" fillId="4" borderId="5" xfId="1" applyFont="1" applyFill="1" applyBorder="1" applyProtection="1"/>
    <xf numFmtId="10" fontId="7" fillId="2" borderId="2" xfId="2" applyNumberFormat="1" applyFont="1" applyFill="1" applyBorder="1" applyProtection="1"/>
    <xf numFmtId="44" fontId="20" fillId="4" borderId="2" xfId="1" applyFont="1" applyFill="1" applyBorder="1" applyProtection="1"/>
    <xf numFmtId="10" fontId="20" fillId="4" borderId="2" xfId="2" applyNumberFormat="1" applyFont="1" applyFill="1" applyBorder="1" applyProtection="1"/>
    <xf numFmtId="44" fontId="7" fillId="2" borderId="15" xfId="1" applyFont="1" applyFill="1" applyBorder="1" applyProtection="1"/>
    <xf numFmtId="44" fontId="0" fillId="0" borderId="14" xfId="1" applyFont="1" applyFill="1" applyBorder="1" applyProtection="1"/>
    <xf numFmtId="10" fontId="20" fillId="0" borderId="2" xfId="0" applyNumberFormat="1" applyFont="1" applyFill="1" applyBorder="1" applyProtection="1"/>
    <xf numFmtId="10" fontId="20" fillId="2" borderId="2" xfId="0" applyNumberFormat="1" applyFont="1" applyFill="1" applyBorder="1" applyProtection="1"/>
    <xf numFmtId="44" fontId="20" fillId="0" borderId="2" xfId="1" applyFont="1" applyFill="1" applyBorder="1" applyProtection="1"/>
    <xf numFmtId="44" fontId="20" fillId="2" borderId="2" xfId="1" applyFont="1" applyFill="1" applyBorder="1" applyProtection="1"/>
    <xf numFmtId="44" fontId="0" fillId="0" borderId="2" xfId="1" applyFont="1" applyFill="1" applyBorder="1" applyProtection="1"/>
    <xf numFmtId="44" fontId="1" fillId="0" borderId="2" xfId="1" applyFont="1" applyFill="1" applyBorder="1" applyProtection="1"/>
    <xf numFmtId="44" fontId="1" fillId="2" borderId="2" xfId="1" applyFont="1" applyFill="1" applyBorder="1" applyProtection="1"/>
    <xf numFmtId="44" fontId="11" fillId="2" borderId="15" xfId="1" applyFont="1" applyFill="1" applyBorder="1" applyProtection="1"/>
    <xf numFmtId="165" fontId="11" fillId="2" borderId="2" xfId="0" applyNumberFormat="1" applyFont="1" applyFill="1" applyBorder="1" applyProtection="1"/>
    <xf numFmtId="0" fontId="0" fillId="4" borderId="2" xfId="0" applyFont="1" applyFill="1" applyBorder="1" applyProtection="1"/>
    <xf numFmtId="0" fontId="0" fillId="4" borderId="13" xfId="0" applyFont="1" applyFill="1" applyBorder="1" applyProtection="1"/>
    <xf numFmtId="3" fontId="22" fillId="4" borderId="56" xfId="0" applyNumberFormat="1" applyFont="1" applyFill="1" applyBorder="1" applyProtection="1"/>
    <xf numFmtId="44" fontId="0" fillId="0" borderId="2" xfId="1" applyFont="1" applyBorder="1" applyProtection="1"/>
    <xf numFmtId="44" fontId="10" fillId="10" borderId="23" xfId="1" applyFont="1" applyFill="1" applyBorder="1" applyProtection="1"/>
    <xf numFmtId="44" fontId="7" fillId="2" borderId="8" xfId="1" applyFont="1" applyFill="1" applyBorder="1" applyProtection="1"/>
    <xf numFmtId="44" fontId="10" fillId="2" borderId="2" xfId="1" applyFont="1" applyFill="1" applyBorder="1" applyProtection="1"/>
    <xf numFmtId="44" fontId="0" fillId="4" borderId="17" xfId="1" applyFont="1" applyFill="1" applyBorder="1" applyProtection="1"/>
    <xf numFmtId="44" fontId="4" fillId="2" borderId="16" xfId="1" applyFont="1" applyFill="1" applyBorder="1" applyProtection="1"/>
    <xf numFmtId="0" fontId="0" fillId="4" borderId="15" xfId="0" applyFont="1" applyFill="1" applyBorder="1" applyProtection="1"/>
    <xf numFmtId="2" fontId="0" fillId="0" borderId="8" xfId="0" applyNumberFormat="1" applyFont="1" applyBorder="1" applyProtection="1"/>
    <xf numFmtId="2" fontId="24" fillId="4" borderId="8" xfId="0" applyNumberFormat="1" applyFont="1" applyFill="1" applyBorder="1" applyProtection="1"/>
    <xf numFmtId="2" fontId="0" fillId="0" borderId="2" xfId="0" applyNumberFormat="1" applyFont="1" applyBorder="1" applyProtection="1"/>
    <xf numFmtId="2" fontId="24" fillId="4" borderId="2" xfId="0" applyNumberFormat="1" applyFont="1" applyFill="1" applyBorder="1" applyProtection="1"/>
    <xf numFmtId="2" fontId="0" fillId="0" borderId="24" xfId="0" applyNumberFormat="1" applyFont="1" applyBorder="1" applyProtection="1"/>
    <xf numFmtId="2" fontId="24" fillId="4" borderId="24" xfId="0" applyNumberFormat="1" applyFont="1" applyFill="1" applyBorder="1" applyProtection="1"/>
    <xf numFmtId="2" fontId="24" fillId="0" borderId="8" xfId="0" applyNumberFormat="1" applyFont="1" applyBorder="1" applyProtection="1"/>
    <xf numFmtId="2" fontId="0" fillId="4" borderId="8" xfId="0" applyNumberFormat="1" applyFont="1" applyFill="1" applyBorder="1" applyProtection="1"/>
    <xf numFmtId="2" fontId="7" fillId="0" borderId="8" xfId="0" applyNumberFormat="1" applyFont="1" applyBorder="1" applyProtection="1"/>
    <xf numFmtId="2" fontId="7" fillId="0" borderId="24" xfId="0" applyNumberFormat="1" applyFont="1" applyBorder="1" applyProtection="1"/>
    <xf numFmtId="2" fontId="7" fillId="4" borderId="24" xfId="0" applyNumberFormat="1" applyFont="1" applyFill="1" applyBorder="1" applyProtection="1"/>
    <xf numFmtId="0" fontId="8" fillId="0" borderId="0" xfId="0" applyFont="1" applyAlignment="1" applyProtection="1">
      <alignment horizontal="left"/>
      <protection locked="0"/>
    </xf>
    <xf numFmtId="0" fontId="35" fillId="3" borderId="14" xfId="0" applyFont="1" applyFill="1" applyBorder="1" applyProtection="1">
      <protection locked="0"/>
    </xf>
    <xf numFmtId="0" fontId="0" fillId="3" borderId="15" xfId="0" applyFont="1" applyFill="1" applyBorder="1" applyProtection="1">
      <protection locked="0"/>
    </xf>
    <xf numFmtId="166" fontId="0" fillId="3" borderId="14" xfId="1" applyNumberFormat="1" applyFont="1" applyFill="1" applyBorder="1" applyProtection="1">
      <protection locked="0"/>
    </xf>
    <xf numFmtId="166" fontId="0" fillId="3" borderId="2" xfId="1" applyNumberFormat="1" applyFont="1" applyFill="1" applyBorder="1" applyProtection="1">
      <protection locked="0"/>
    </xf>
    <xf numFmtId="166" fontId="0" fillId="3" borderId="16" xfId="1" applyNumberFormat="1" applyFont="1" applyFill="1" applyBorder="1" applyProtection="1">
      <protection locked="0"/>
    </xf>
    <xf numFmtId="166" fontId="1" fillId="3" borderId="2" xfId="1" applyNumberFormat="1" applyFont="1" applyFill="1" applyBorder="1" applyProtection="1">
      <protection locked="0"/>
    </xf>
    <xf numFmtId="0" fontId="35" fillId="3" borderId="22" xfId="0" applyFont="1" applyFill="1" applyBorder="1" applyProtection="1">
      <protection locked="0"/>
    </xf>
    <xf numFmtId="0" fontId="0" fillId="3" borderId="21" xfId="0" applyFont="1" applyFill="1" applyBorder="1" applyProtection="1">
      <protection locked="0"/>
    </xf>
    <xf numFmtId="166" fontId="0" fillId="3" borderId="22" xfId="1" applyNumberFormat="1" applyFont="1" applyFill="1" applyBorder="1" applyProtection="1">
      <protection locked="0"/>
    </xf>
    <xf numFmtId="166" fontId="0" fillId="3" borderId="12" xfId="1" applyNumberFormat="1" applyFont="1" applyFill="1" applyBorder="1" applyProtection="1">
      <protection locked="0"/>
    </xf>
    <xf numFmtId="166" fontId="0" fillId="3" borderId="38" xfId="1" applyNumberFormat="1" applyFont="1" applyFill="1" applyBorder="1" applyProtection="1">
      <protection locked="0"/>
    </xf>
    <xf numFmtId="0" fontId="35" fillId="3" borderId="3" xfId="0" applyFont="1" applyFill="1" applyBorder="1" applyProtection="1">
      <protection locked="0"/>
    </xf>
    <xf numFmtId="0" fontId="0" fillId="3" borderId="4" xfId="0" applyFont="1" applyFill="1" applyBorder="1" applyProtection="1">
      <protection locked="0"/>
    </xf>
    <xf numFmtId="166" fontId="0" fillId="3" borderId="3" xfId="1" applyNumberFormat="1" applyFont="1" applyFill="1" applyBorder="1" applyProtection="1">
      <protection locked="0"/>
    </xf>
    <xf numFmtId="166" fontId="0" fillId="3" borderId="13" xfId="1" applyNumberFormat="1" applyFont="1" applyFill="1" applyBorder="1" applyProtection="1">
      <protection locked="0"/>
    </xf>
    <xf numFmtId="166" fontId="0" fillId="3" borderId="18" xfId="1" applyNumberFormat="1" applyFont="1" applyFill="1" applyBorder="1" applyProtection="1">
      <protection locked="0"/>
    </xf>
    <xf numFmtId="3" fontId="0" fillId="3" borderId="2" xfId="0" applyNumberFormat="1" applyFont="1" applyFill="1" applyBorder="1" applyProtection="1">
      <protection locked="0"/>
    </xf>
    <xf numFmtId="0" fontId="7" fillId="0" borderId="0" xfId="0" applyFont="1" applyAlignment="1" applyProtection="1">
      <alignment horizontal="right"/>
      <protection locked="0"/>
    </xf>
    <xf numFmtId="0" fontId="11" fillId="4" borderId="4" xfId="0" applyFont="1" applyFill="1" applyBorder="1" applyProtection="1">
      <protection locked="0"/>
    </xf>
    <xf numFmtId="3" fontId="0" fillId="4" borderId="4" xfId="0" applyNumberFormat="1" applyFont="1" applyFill="1" applyBorder="1" applyProtection="1">
      <protection locked="0"/>
    </xf>
    <xf numFmtId="0" fontId="26" fillId="4" borderId="0" xfId="0" applyFont="1" applyFill="1" applyBorder="1" applyProtection="1">
      <protection locked="0"/>
    </xf>
    <xf numFmtId="10" fontId="0" fillId="4" borderId="0" xfId="2" applyNumberFormat="1" applyFont="1" applyFill="1" applyBorder="1" applyProtection="1">
      <protection locked="0"/>
    </xf>
    <xf numFmtId="0" fontId="0" fillId="4" borderId="17" xfId="0" applyFont="1" applyFill="1" applyBorder="1" applyProtection="1">
      <protection locked="0"/>
    </xf>
    <xf numFmtId="0" fontId="7" fillId="4" borderId="3" xfId="0" applyFont="1" applyFill="1" applyBorder="1" applyAlignment="1" applyProtection="1">
      <alignment horizontal="left"/>
    </xf>
    <xf numFmtId="166" fontId="0" fillId="4" borderId="16" xfId="1" applyNumberFormat="1" applyFont="1" applyFill="1" applyBorder="1" applyProtection="1"/>
    <xf numFmtId="166" fontId="3" fillId="2" borderId="39" xfId="1" applyNumberFormat="1" applyFont="1" applyFill="1" applyBorder="1" applyProtection="1"/>
    <xf numFmtId="166" fontId="3" fillId="2" borderId="40" xfId="1" applyNumberFormat="1" applyFont="1" applyFill="1" applyBorder="1" applyProtection="1"/>
    <xf numFmtId="166" fontId="3" fillId="2" borderId="26" xfId="1" applyNumberFormat="1" applyFont="1" applyFill="1" applyBorder="1" applyProtection="1"/>
    <xf numFmtId="166" fontId="3" fillId="2" borderId="25" xfId="1" applyNumberFormat="1" applyFont="1" applyFill="1" applyBorder="1" applyProtection="1"/>
    <xf numFmtId="166" fontId="0" fillId="4" borderId="12" xfId="1" applyNumberFormat="1" applyFont="1" applyFill="1" applyBorder="1" applyProtection="1"/>
    <xf numFmtId="10" fontId="0" fillId="4" borderId="2" xfId="2" applyNumberFormat="1" applyFont="1" applyFill="1" applyBorder="1" applyProtection="1"/>
    <xf numFmtId="10" fontId="3" fillId="4" borderId="2" xfId="2" applyNumberFormat="1" applyFont="1" applyFill="1" applyBorder="1" applyProtection="1"/>
    <xf numFmtId="3" fontId="0" fillId="4" borderId="13" xfId="0" applyNumberFormat="1" applyFont="1" applyFill="1" applyBorder="1" applyProtection="1"/>
    <xf numFmtId="0" fontId="0" fillId="4" borderId="18" xfId="0" applyFont="1" applyFill="1" applyBorder="1" applyAlignment="1" applyProtection="1">
      <alignment horizontal="right"/>
    </xf>
    <xf numFmtId="44" fontId="3" fillId="2" borderId="2" xfId="1" applyFont="1" applyFill="1" applyBorder="1" applyProtection="1"/>
    <xf numFmtId="10" fontId="0" fillId="4" borderId="2" xfId="0" applyNumberFormat="1" applyFont="1" applyFill="1" applyBorder="1" applyProtection="1"/>
    <xf numFmtId="3" fontId="22" fillId="4" borderId="12" xfId="0" applyNumberFormat="1" applyFont="1" applyFill="1" applyBorder="1" applyProtection="1"/>
    <xf numFmtId="10" fontId="11" fillId="4" borderId="8" xfId="2" applyNumberFormat="1" applyFont="1" applyFill="1" applyBorder="1" applyAlignment="1" applyProtection="1">
      <alignment horizontal="center"/>
    </xf>
    <xf numFmtId="44" fontId="0" fillId="0" borderId="8" xfId="1" applyFont="1" applyBorder="1" applyProtection="1"/>
    <xf numFmtId="44" fontId="7" fillId="2" borderId="2" xfId="1" applyFont="1" applyFill="1" applyBorder="1" applyProtection="1"/>
    <xf numFmtId="0" fontId="14" fillId="0" borderId="0" xfId="3" applyFont="1" applyFill="1" applyProtection="1">
      <protection locked="0"/>
    </xf>
    <xf numFmtId="0" fontId="14" fillId="4" borderId="0" xfId="3" applyFont="1" applyFill="1" applyBorder="1" applyProtection="1">
      <protection locked="0"/>
    </xf>
    <xf numFmtId="0" fontId="15" fillId="4" borderId="6" xfId="0" applyFont="1" applyFill="1" applyBorder="1" applyProtection="1">
      <protection locked="0"/>
    </xf>
    <xf numFmtId="0" fontId="14" fillId="4" borderId="11" xfId="3" applyFont="1" applyFill="1" applyBorder="1" applyProtection="1">
      <protection locked="0"/>
    </xf>
    <xf numFmtId="0" fontId="0" fillId="3" borderId="7" xfId="0" applyFont="1" applyFill="1" applyBorder="1" applyAlignment="1" applyProtection="1">
      <alignment vertical="center"/>
      <protection locked="0"/>
    </xf>
    <xf numFmtId="44" fontId="7" fillId="3" borderId="8" xfId="1" applyFont="1" applyFill="1" applyBorder="1" applyProtection="1">
      <protection locked="0"/>
    </xf>
    <xf numFmtId="0" fontId="0" fillId="3" borderId="14" xfId="0" applyFont="1" applyFill="1" applyBorder="1" applyAlignment="1" applyProtection="1">
      <alignment vertical="center"/>
      <protection locked="0"/>
    </xf>
    <xf numFmtId="0" fontId="7" fillId="3" borderId="14" xfId="0" applyFont="1" applyFill="1" applyBorder="1" applyAlignment="1" applyProtection="1">
      <alignment vertical="center"/>
      <protection locked="0"/>
    </xf>
    <xf numFmtId="167" fontId="7" fillId="3" borderId="16" xfId="3" applyNumberFormat="1" applyFont="1" applyFill="1" applyBorder="1" applyProtection="1">
      <protection locked="0"/>
    </xf>
    <xf numFmtId="44" fontId="7" fillId="3" borderId="2" xfId="1" applyFont="1" applyFill="1" applyBorder="1" applyProtection="1">
      <protection locked="0"/>
    </xf>
    <xf numFmtId="0" fontId="7" fillId="3" borderId="14" xfId="0" applyFont="1" applyFill="1" applyBorder="1" applyAlignment="1" applyProtection="1">
      <alignment vertical="center" wrapText="1"/>
      <protection locked="0"/>
    </xf>
    <xf numFmtId="167" fontId="7" fillId="3" borderId="14" xfId="3" applyNumberFormat="1" applyFont="1" applyFill="1" applyBorder="1" applyProtection="1">
      <protection locked="0"/>
    </xf>
    <xf numFmtId="167" fontId="7" fillId="3" borderId="36" xfId="3" applyNumberFormat="1" applyFont="1" applyFill="1" applyBorder="1" applyProtection="1">
      <protection locked="0"/>
    </xf>
    <xf numFmtId="44" fontId="7" fillId="3" borderId="24" xfId="1" applyFont="1" applyFill="1" applyBorder="1" applyProtection="1">
      <protection locked="0"/>
    </xf>
    <xf numFmtId="44" fontId="1" fillId="0" borderId="0" xfId="1" applyFont="1" applyFill="1" applyBorder="1" applyProtection="1">
      <protection locked="0"/>
    </xf>
    <xf numFmtId="44" fontId="7" fillId="4" borderId="7" xfId="1" applyFont="1" applyFill="1" applyBorder="1" applyProtection="1"/>
    <xf numFmtId="44" fontId="39" fillId="4" borderId="43" xfId="1" applyFont="1" applyFill="1" applyBorder="1" applyProtection="1"/>
    <xf numFmtId="44" fontId="7" fillId="4" borderId="2" xfId="1" applyFont="1" applyFill="1" applyBorder="1" applyProtection="1"/>
    <xf numFmtId="44" fontId="7" fillId="4" borderId="36" xfId="1" applyFont="1" applyFill="1" applyBorder="1" applyProtection="1"/>
    <xf numFmtId="44" fontId="39" fillId="4" borderId="44" xfId="1" applyFont="1" applyFill="1" applyBorder="1" applyProtection="1"/>
    <xf numFmtId="44" fontId="7" fillId="4" borderId="24" xfId="1" applyFont="1" applyFill="1" applyBorder="1" applyProtection="1"/>
    <xf numFmtId="10" fontId="11" fillId="4" borderId="36" xfId="2" applyNumberFormat="1" applyFont="1" applyFill="1" applyBorder="1" applyAlignment="1" applyProtection="1">
      <alignment horizontal="center"/>
    </xf>
    <xf numFmtId="10" fontId="11" fillId="4" borderId="24" xfId="2" applyNumberFormat="1" applyFont="1" applyFill="1" applyBorder="1" applyAlignment="1" applyProtection="1">
      <alignment horizontal="center"/>
    </xf>
    <xf numFmtId="44" fontId="11" fillId="2" borderId="8" xfId="1" applyFont="1" applyFill="1" applyBorder="1" applyProtection="1"/>
    <xf numFmtId="10" fontId="0" fillId="4" borderId="13" xfId="0" applyNumberFormat="1" applyFont="1" applyFill="1" applyBorder="1" applyProtection="1"/>
    <xf numFmtId="0" fontId="16" fillId="0" borderId="0" xfId="3" applyFont="1" applyFill="1" applyProtection="1"/>
    <xf numFmtId="0" fontId="0" fillId="4" borderId="14" xfId="0" applyFont="1" applyFill="1" applyBorder="1" applyAlignment="1" applyProtection="1">
      <alignment horizontal="left"/>
    </xf>
    <xf numFmtId="44" fontId="14" fillId="0" borderId="0" xfId="1" applyFont="1" applyFill="1" applyProtection="1">
      <protection locked="0"/>
    </xf>
    <xf numFmtId="167" fontId="34" fillId="3" borderId="16" xfId="3" applyNumberFormat="1" applyFont="1" applyFill="1" applyBorder="1" applyProtection="1">
      <protection locked="0"/>
    </xf>
    <xf numFmtId="10" fontId="12" fillId="4" borderId="24" xfId="2" applyNumberFormat="1" applyFont="1" applyFill="1" applyBorder="1" applyAlignment="1" applyProtection="1">
      <alignment horizontal="center"/>
    </xf>
    <xf numFmtId="44" fontId="24" fillId="4" borderId="2" xfId="1" applyFont="1" applyFill="1" applyBorder="1" applyProtection="1"/>
    <xf numFmtId="44" fontId="12" fillId="2" borderId="2" xfId="1" applyFont="1" applyFill="1" applyBorder="1" applyProtection="1"/>
    <xf numFmtId="10" fontId="7" fillId="4" borderId="2" xfId="1" applyNumberFormat="1" applyFont="1" applyFill="1" applyBorder="1" applyProtection="1"/>
    <xf numFmtId="10" fontId="1" fillId="4" borderId="2" xfId="3" applyNumberFormat="1" applyFont="1" applyFill="1" applyBorder="1" applyProtection="1"/>
    <xf numFmtId="0" fontId="8" fillId="0" borderId="0" xfId="0" applyFont="1" applyProtection="1"/>
    <xf numFmtId="0" fontId="49" fillId="4" borderId="0" xfId="0" applyFont="1" applyFill="1" applyBorder="1" applyProtection="1"/>
    <xf numFmtId="0" fontId="2" fillId="4" borderId="11" xfId="0" applyFont="1" applyFill="1" applyBorder="1" applyAlignment="1" applyProtection="1">
      <alignment horizontal="right"/>
    </xf>
    <xf numFmtId="0" fontId="17" fillId="4" borderId="6" xfId="0" applyFont="1" applyFill="1" applyBorder="1" applyProtection="1">
      <protection locked="0"/>
    </xf>
    <xf numFmtId="0" fontId="17" fillId="4" borderId="0" xfId="0" applyFont="1" applyFill="1" applyBorder="1" applyProtection="1">
      <protection locked="0"/>
    </xf>
    <xf numFmtId="44" fontId="7" fillId="3" borderId="12" xfId="0" applyNumberFormat="1" applyFont="1" applyFill="1" applyBorder="1" applyProtection="1">
      <protection locked="0"/>
    </xf>
    <xf numFmtId="9" fontId="7" fillId="4" borderId="4" xfId="2" applyFont="1" applyFill="1" applyBorder="1" applyProtection="1">
      <protection locked="0"/>
    </xf>
    <xf numFmtId="0" fontId="7" fillId="4" borderId="13" xfId="0" applyFont="1" applyFill="1" applyBorder="1" applyProtection="1">
      <protection locked="0"/>
    </xf>
    <xf numFmtId="169" fontId="7" fillId="4" borderId="5" xfId="1" applyNumberFormat="1" applyFont="1" applyFill="1" applyBorder="1" applyProtection="1">
      <protection locked="0"/>
    </xf>
    <xf numFmtId="0" fontId="7" fillId="4" borderId="8" xfId="0" applyFont="1" applyFill="1" applyBorder="1" applyProtection="1">
      <protection locked="0"/>
    </xf>
    <xf numFmtId="169" fontId="7" fillId="4" borderId="8" xfId="1" applyNumberFormat="1" applyFont="1" applyFill="1" applyBorder="1" applyProtection="1">
      <protection locked="0"/>
    </xf>
    <xf numFmtId="10" fontId="7" fillId="3" borderId="2" xfId="2" applyNumberFormat="1" applyFont="1" applyFill="1" applyBorder="1" applyProtection="1">
      <protection locked="0"/>
    </xf>
    <xf numFmtId="44" fontId="0" fillId="0" borderId="0" xfId="0" applyNumberFormat="1" applyFont="1" applyProtection="1">
      <protection locked="0"/>
    </xf>
    <xf numFmtId="44" fontId="0" fillId="0" borderId="0" xfId="1" applyFont="1" applyProtection="1">
      <protection locked="0"/>
    </xf>
    <xf numFmtId="44" fontId="3" fillId="2" borderId="8" xfId="1" applyFont="1" applyFill="1" applyBorder="1" applyProtection="1"/>
    <xf numFmtId="44" fontId="3" fillId="2" borderId="17" xfId="1" applyFont="1" applyFill="1" applyBorder="1" applyProtection="1"/>
    <xf numFmtId="10" fontId="16" fillId="4" borderId="5" xfId="2" applyNumberFormat="1" applyFont="1" applyFill="1" applyBorder="1" applyAlignment="1" applyProtection="1">
      <alignment vertical="top"/>
    </xf>
    <xf numFmtId="10" fontId="7" fillId="2" borderId="15" xfId="0" applyNumberFormat="1" applyFont="1" applyFill="1" applyBorder="1" applyProtection="1"/>
    <xf numFmtId="44" fontId="7" fillId="4" borderId="5" xfId="0" applyNumberFormat="1" applyFont="1" applyFill="1" applyBorder="1" applyProtection="1"/>
    <xf numFmtId="10" fontId="7" fillId="4" borderId="2" xfId="2" applyNumberFormat="1" applyFont="1" applyFill="1" applyBorder="1" applyAlignment="1" applyProtection="1">
      <alignment horizontal="right"/>
    </xf>
    <xf numFmtId="44" fontId="7" fillId="0" borderId="2" xfId="0" applyNumberFormat="1" applyFont="1" applyFill="1" applyBorder="1" applyProtection="1"/>
    <xf numFmtId="44" fontId="7" fillId="0" borderId="5" xfId="1" applyFont="1" applyFill="1" applyBorder="1" applyProtection="1"/>
    <xf numFmtId="169" fontId="7" fillId="4" borderId="5" xfId="1" applyNumberFormat="1" applyFont="1" applyFill="1" applyBorder="1" applyProtection="1"/>
    <xf numFmtId="169" fontId="7" fillId="4" borderId="2" xfId="1" applyNumberFormat="1" applyFont="1" applyFill="1" applyBorder="1" applyProtection="1"/>
    <xf numFmtId="169" fontId="3" fillId="2" borderId="2" xfId="1" applyNumberFormat="1" applyFont="1" applyFill="1" applyBorder="1" applyProtection="1"/>
    <xf numFmtId="44" fontId="0" fillId="2" borderId="2" xfId="1" applyFont="1" applyFill="1" applyBorder="1" applyProtection="1"/>
    <xf numFmtId="10" fontId="0" fillId="2" borderId="15" xfId="0" applyNumberFormat="1" applyFont="1" applyFill="1" applyBorder="1" applyProtection="1"/>
    <xf numFmtId="0" fontId="0" fillId="4" borderId="5" xfId="0" applyFont="1" applyFill="1" applyBorder="1" applyProtection="1"/>
    <xf numFmtId="44" fontId="4" fillId="2" borderId="2" xfId="1" applyFont="1" applyFill="1" applyBorder="1" applyProtection="1"/>
    <xf numFmtId="0" fontId="0" fillId="0" borderId="0" xfId="0" applyBorder="1" applyProtection="1">
      <protection locked="0"/>
    </xf>
    <xf numFmtId="0" fontId="8" fillId="4" borderId="6" xfId="0" applyFont="1" applyFill="1" applyBorder="1" applyProtection="1"/>
    <xf numFmtId="0" fontId="0" fillId="4" borderId="4" xfId="0" applyFill="1" applyBorder="1" applyProtection="1"/>
    <xf numFmtId="0" fontId="0" fillId="4" borderId="0" xfId="0" applyFill="1" applyBorder="1" applyProtection="1"/>
    <xf numFmtId="0" fontId="0" fillId="4" borderId="15" xfId="0" applyFill="1" applyBorder="1" applyProtection="1"/>
    <xf numFmtId="0" fontId="41" fillId="4" borderId="0" xfId="0" applyFont="1" applyFill="1" applyBorder="1" applyProtection="1">
      <protection locked="0"/>
    </xf>
    <xf numFmtId="0" fontId="7" fillId="4" borderId="15" xfId="0" applyFont="1" applyFill="1" applyBorder="1" applyProtection="1">
      <protection locked="0"/>
    </xf>
    <xf numFmtId="0" fontId="11" fillId="4" borderId="0" xfId="0" applyFont="1" applyFill="1" applyBorder="1" applyProtection="1">
      <protection locked="0"/>
    </xf>
    <xf numFmtId="44" fontId="10" fillId="0" borderId="2" xfId="0" applyNumberFormat="1" applyFont="1" applyFill="1" applyBorder="1" applyProtection="1">
      <protection locked="0"/>
    </xf>
    <xf numFmtId="1" fontId="7" fillId="0" borderId="2" xfId="0" applyNumberFormat="1" applyFont="1" applyFill="1" applyBorder="1" applyAlignment="1" applyProtection="1">
      <alignment horizontal="center" wrapText="1"/>
      <protection locked="0"/>
    </xf>
    <xf numFmtId="0" fontId="16" fillId="0" borderId="0" xfId="0" applyFont="1" applyProtection="1">
      <protection locked="0"/>
    </xf>
    <xf numFmtId="0" fontId="11" fillId="4" borderId="40" xfId="0" applyFont="1" applyFill="1" applyBorder="1" applyProtection="1">
      <protection locked="0"/>
    </xf>
    <xf numFmtId="0" fontId="0" fillId="4" borderId="28" xfId="0" applyFill="1" applyBorder="1" applyAlignment="1" applyProtection="1">
      <alignment horizontal="left"/>
      <protection locked="0"/>
    </xf>
    <xf numFmtId="0" fontId="11" fillId="4" borderId="1" xfId="0" applyFont="1" applyFill="1" applyBorder="1" applyProtection="1">
      <protection locked="0"/>
    </xf>
    <xf numFmtId="0" fontId="7" fillId="0" borderId="0" xfId="0" applyFont="1" applyFill="1" applyBorder="1" applyProtection="1">
      <protection locked="0"/>
    </xf>
    <xf numFmtId="0" fontId="7" fillId="0" borderId="0" xfId="0" applyFont="1" applyFill="1" applyBorder="1" applyAlignment="1" applyProtection="1">
      <alignment horizontal="right"/>
      <protection locked="0"/>
    </xf>
    <xf numFmtId="0" fontId="9" fillId="0" borderId="0" xfId="0" applyFont="1" applyFill="1" applyBorder="1" applyAlignment="1" applyProtection="1">
      <alignment horizontal="center"/>
      <protection locked="0"/>
    </xf>
    <xf numFmtId="1" fontId="10" fillId="0" borderId="0" xfId="0" applyNumberFormat="1" applyFont="1" applyFill="1" applyBorder="1" applyAlignment="1" applyProtection="1">
      <alignment horizontal="center"/>
      <protection locked="0"/>
    </xf>
    <xf numFmtId="0" fontId="16" fillId="0" borderId="0" xfId="0" applyFont="1" applyBorder="1" applyProtection="1">
      <protection locked="0"/>
    </xf>
    <xf numFmtId="44" fontId="9" fillId="0" borderId="0" xfId="0" applyNumberFormat="1" applyFont="1" applyFill="1" applyBorder="1" applyAlignment="1" applyProtection="1">
      <alignment horizontal="right"/>
      <protection locked="0"/>
    </xf>
    <xf numFmtId="44" fontId="9"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44" fontId="10" fillId="0" borderId="0"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right" vertical="center"/>
      <protection locked="0"/>
    </xf>
    <xf numFmtId="0" fontId="16" fillId="0" borderId="0" xfId="0" applyFont="1" applyFill="1" applyBorder="1" applyProtection="1">
      <protection locked="0"/>
    </xf>
    <xf numFmtId="0" fontId="16" fillId="0" borderId="0" xfId="0" applyFont="1" applyFill="1" applyProtection="1">
      <protection locked="0"/>
    </xf>
    <xf numFmtId="0" fontId="7" fillId="0" borderId="0" xfId="0" applyFont="1" applyFill="1" applyProtection="1">
      <protection locked="0"/>
    </xf>
    <xf numFmtId="1" fontId="16" fillId="0" borderId="0" xfId="0" applyNumberFormat="1" applyFont="1" applyAlignment="1" applyProtection="1">
      <alignment horizontal="right"/>
    </xf>
    <xf numFmtId="0" fontId="16" fillId="0" borderId="0" xfId="0" applyFont="1" applyProtection="1"/>
    <xf numFmtId="2" fontId="16" fillId="0" borderId="0" xfId="0" applyNumberFormat="1" applyFont="1" applyAlignment="1" applyProtection="1">
      <alignment horizontal="right"/>
    </xf>
    <xf numFmtId="1" fontId="16" fillId="0" borderId="0" xfId="0" applyNumberFormat="1" applyFont="1" applyAlignment="1" applyProtection="1">
      <alignment horizontal="right" vertical="top"/>
    </xf>
    <xf numFmtId="0" fontId="16" fillId="0" borderId="0" xfId="0" applyFont="1" applyAlignment="1" applyProtection="1">
      <alignment vertical="top"/>
    </xf>
    <xf numFmtId="0" fontId="3" fillId="0" borderId="0" xfId="0" applyFont="1" applyProtection="1"/>
    <xf numFmtId="10" fontId="10" fillId="8" borderId="23" xfId="2" applyNumberFormat="1" applyFont="1" applyFill="1" applyBorder="1" applyProtection="1"/>
    <xf numFmtId="0" fontId="2" fillId="4" borderId="9" xfId="0" applyFont="1" applyFill="1" applyBorder="1" applyProtection="1"/>
    <xf numFmtId="0" fontId="8" fillId="4" borderId="26" xfId="0" applyFont="1" applyFill="1" applyBorder="1" applyAlignment="1" applyProtection="1">
      <alignment horizontal="left"/>
    </xf>
    <xf numFmtId="22" fontId="7" fillId="7" borderId="70" xfId="0" quotePrefix="1" applyNumberFormat="1" applyFont="1" applyFill="1" applyBorder="1" applyAlignment="1" applyProtection="1"/>
    <xf numFmtId="0" fontId="11" fillId="7" borderId="71" xfId="0" applyFont="1" applyFill="1" applyBorder="1" applyAlignment="1" applyProtection="1">
      <alignment horizontal="center" vertical="center"/>
    </xf>
    <xf numFmtId="0" fontId="7" fillId="7" borderId="70" xfId="0" applyFont="1" applyFill="1" applyBorder="1" applyAlignment="1" applyProtection="1">
      <alignment horizontal="center" vertical="center"/>
    </xf>
    <xf numFmtId="0" fontId="7" fillId="4" borderId="70" xfId="0" applyFont="1" applyFill="1" applyBorder="1" applyAlignment="1" applyProtection="1">
      <alignment vertical="center" wrapText="1"/>
    </xf>
    <xf numFmtId="0" fontId="0" fillId="4" borderId="59" xfId="0" applyFont="1" applyFill="1" applyBorder="1" applyProtection="1"/>
    <xf numFmtId="0" fontId="0" fillId="4" borderId="0" xfId="0" applyFont="1" applyFill="1" applyBorder="1" applyProtection="1"/>
    <xf numFmtId="0" fontId="0" fillId="4" borderId="61" xfId="0" applyFont="1" applyFill="1" applyBorder="1" applyProtection="1"/>
    <xf numFmtId="10" fontId="0" fillId="0" borderId="0" xfId="2" applyNumberFormat="1" applyFont="1" applyProtection="1">
      <protection locked="0"/>
    </xf>
    <xf numFmtId="0" fontId="0" fillId="4" borderId="7" xfId="0" applyFill="1" applyBorder="1" applyProtection="1">
      <protection locked="0"/>
    </xf>
    <xf numFmtId="10" fontId="0" fillId="4" borderId="1" xfId="2" applyNumberFormat="1" applyFont="1" applyFill="1" applyBorder="1" applyProtection="1">
      <protection locked="0"/>
    </xf>
    <xf numFmtId="0" fontId="0" fillId="4" borderId="1" xfId="0" applyFill="1" applyBorder="1" applyProtection="1">
      <protection locked="0"/>
    </xf>
    <xf numFmtId="0" fontId="0" fillId="4" borderId="17" xfId="0" applyFill="1" applyBorder="1" applyProtection="1">
      <protection locked="0"/>
    </xf>
    <xf numFmtId="44" fontId="7" fillId="4" borderId="2" xfId="1" applyNumberFormat="1" applyFont="1" applyFill="1" applyBorder="1" applyProtection="1"/>
    <xf numFmtId="44" fontId="3" fillId="4" borderId="23" xfId="0" applyNumberFormat="1" applyFont="1" applyFill="1" applyBorder="1" applyProtection="1"/>
    <xf numFmtId="0" fontId="14" fillId="4" borderId="16" xfId="3" applyFont="1" applyFill="1" applyBorder="1" applyProtection="1"/>
    <xf numFmtId="0" fontId="8" fillId="0" borderId="0" xfId="0" applyFont="1" applyProtection="1">
      <protection locked="0"/>
    </xf>
    <xf numFmtId="0" fontId="46" fillId="0" borderId="0" xfId="0" applyFont="1" applyAlignment="1" applyProtection="1">
      <alignment horizontal="right"/>
    </xf>
    <xf numFmtId="10" fontId="0" fillId="4" borderId="15" xfId="0" applyNumberFormat="1" applyFont="1" applyFill="1" applyBorder="1" applyProtection="1">
      <protection locked="0"/>
    </xf>
    <xf numFmtId="166" fontId="0" fillId="0" borderId="2" xfId="1" applyNumberFormat="1" applyFont="1" applyFill="1" applyBorder="1" applyProtection="1"/>
    <xf numFmtId="44" fontId="0" fillId="4" borderId="16" xfId="1" applyFont="1" applyFill="1" applyBorder="1" applyProtection="1"/>
    <xf numFmtId="14" fontId="0" fillId="4" borderId="15" xfId="0" applyNumberFormat="1" applyFont="1" applyFill="1" applyBorder="1" applyProtection="1">
      <protection locked="0"/>
    </xf>
    <xf numFmtId="0" fontId="55" fillId="0" borderId="0" xfId="0" applyFont="1" applyProtection="1">
      <protection locked="0"/>
    </xf>
    <xf numFmtId="44" fontId="55" fillId="0" borderId="0" xfId="0" applyNumberFormat="1" applyFont="1" applyProtection="1">
      <protection locked="0"/>
    </xf>
    <xf numFmtId="10" fontId="55" fillId="0" borderId="0" xfId="2" applyNumberFormat="1" applyFont="1" applyProtection="1">
      <protection locked="0"/>
    </xf>
    <xf numFmtId="10" fontId="0" fillId="0" borderId="8" xfId="1" applyNumberFormat="1" applyFont="1" applyFill="1" applyBorder="1" applyProtection="1"/>
    <xf numFmtId="0" fontId="21" fillId="0" borderId="0" xfId="3" applyFont="1" applyFill="1" applyProtection="1">
      <protection locked="0"/>
    </xf>
    <xf numFmtId="0" fontId="7" fillId="4" borderId="73" xfId="0" applyFont="1" applyFill="1" applyBorder="1" applyAlignment="1" applyProtection="1">
      <alignment vertical="center" wrapText="1"/>
    </xf>
    <xf numFmtId="10" fontId="10" fillId="4" borderId="74" xfId="2" applyNumberFormat="1" applyFont="1" applyFill="1" applyBorder="1" applyAlignment="1" applyProtection="1">
      <alignment horizontal="center" vertical="center"/>
    </xf>
    <xf numFmtId="10" fontId="10" fillId="4" borderId="75" xfId="2" applyNumberFormat="1" applyFont="1" applyFill="1" applyBorder="1" applyAlignment="1" applyProtection="1">
      <alignment horizontal="center" vertical="center"/>
    </xf>
    <xf numFmtId="0" fontId="3" fillId="4" borderId="69" xfId="0" applyFont="1" applyFill="1" applyBorder="1" applyProtection="1"/>
    <xf numFmtId="0" fontId="3" fillId="7" borderId="70" xfId="0" applyFont="1" applyFill="1" applyBorder="1" applyAlignment="1" applyProtection="1">
      <alignment horizontal="right"/>
    </xf>
    <xf numFmtId="170" fontId="11" fillId="4" borderId="77" xfId="1" applyNumberFormat="1" applyFont="1" applyFill="1" applyBorder="1" applyAlignment="1" applyProtection="1">
      <alignment horizontal="center" vertical="center"/>
    </xf>
    <xf numFmtId="1" fontId="7" fillId="4" borderId="74" xfId="2" applyNumberFormat="1" applyFont="1" applyFill="1" applyBorder="1" applyAlignment="1" applyProtection="1">
      <alignment horizontal="center" vertical="center"/>
    </xf>
    <xf numFmtId="44" fontId="0" fillId="0" borderId="15" xfId="1" applyFont="1" applyBorder="1" applyProtection="1">
      <protection locked="0"/>
    </xf>
    <xf numFmtId="44" fontId="3" fillId="4" borderId="15" xfId="1" applyFont="1" applyFill="1" applyBorder="1" applyProtection="1">
      <protection locked="0"/>
    </xf>
    <xf numFmtId="44" fontId="11" fillId="4" borderId="2" xfId="1" applyFont="1" applyFill="1" applyBorder="1" applyProtection="1"/>
    <xf numFmtId="44" fontId="3" fillId="0" borderId="15" xfId="1" applyFont="1" applyBorder="1" applyProtection="1">
      <protection locked="0"/>
    </xf>
    <xf numFmtId="44" fontId="7" fillId="4" borderId="3" xfId="1" applyFont="1" applyFill="1" applyBorder="1" applyProtection="1"/>
    <xf numFmtId="44" fontId="7" fillId="4" borderId="18" xfId="1" applyFont="1" applyFill="1" applyBorder="1" applyProtection="1"/>
    <xf numFmtId="44" fontId="7" fillId="4" borderId="6" xfId="1" applyFont="1" applyFill="1" applyBorder="1" applyProtection="1"/>
    <xf numFmtId="44" fontId="7" fillId="4" borderId="11" xfId="1" applyFont="1" applyFill="1" applyBorder="1" applyProtection="1"/>
    <xf numFmtId="44" fontId="11" fillId="4" borderId="7" xfId="1" applyFont="1" applyFill="1" applyBorder="1" applyProtection="1"/>
    <xf numFmtId="44" fontId="11" fillId="4" borderId="17" xfId="1" applyFont="1" applyFill="1" applyBorder="1" applyProtection="1"/>
    <xf numFmtId="0" fontId="16" fillId="4" borderId="5" xfId="2" applyNumberFormat="1" applyFont="1" applyFill="1" applyBorder="1" applyAlignment="1" applyProtection="1">
      <alignment vertical="top"/>
    </xf>
    <xf numFmtId="167" fontId="7" fillId="3" borderId="3" xfId="3" applyNumberFormat="1" applyFont="1" applyFill="1" applyBorder="1" applyProtection="1">
      <protection locked="0"/>
    </xf>
    <xf numFmtId="44" fontId="7" fillId="3" borderId="13" xfId="1" applyFont="1" applyFill="1" applyBorder="1" applyProtection="1">
      <protection locked="0"/>
    </xf>
    <xf numFmtId="0" fontId="11" fillId="4" borderId="6" xfId="0" applyFont="1" applyFill="1" applyBorder="1" applyProtection="1"/>
    <xf numFmtId="0" fontId="7" fillId="4" borderId="3" xfId="0" applyFont="1" applyFill="1" applyBorder="1" applyProtection="1"/>
    <xf numFmtId="0" fontId="7" fillId="4" borderId="18" xfId="0" applyFont="1" applyFill="1" applyBorder="1" applyProtection="1"/>
    <xf numFmtId="0" fontId="7" fillId="4" borderId="7" xfId="0" applyFont="1" applyFill="1" applyBorder="1" applyProtection="1"/>
    <xf numFmtId="0" fontId="7" fillId="4" borderId="14" xfId="0" applyFont="1" applyFill="1" applyBorder="1" applyProtection="1"/>
    <xf numFmtId="10" fontId="7" fillId="4" borderId="2" xfId="2" applyNumberFormat="1" applyFont="1" applyFill="1" applyBorder="1" applyProtection="1"/>
    <xf numFmtId="0" fontId="11" fillId="2" borderId="14" xfId="0" applyFont="1" applyFill="1" applyBorder="1" applyAlignment="1" applyProtection="1">
      <alignment vertical="top" wrapText="1"/>
    </xf>
    <xf numFmtId="167" fontId="11" fillId="2" borderId="2" xfId="3" applyNumberFormat="1" applyFont="1" applyFill="1" applyBorder="1" applyAlignment="1" applyProtection="1">
      <alignment horizontal="center" vertical="top" wrapText="1"/>
    </xf>
    <xf numFmtId="0" fontId="0" fillId="2" borderId="14" xfId="0" applyFont="1" applyFill="1" applyBorder="1" applyProtection="1"/>
    <xf numFmtId="0" fontId="0" fillId="2" borderId="15" xfId="0" applyFont="1" applyFill="1" applyBorder="1" applyProtection="1"/>
    <xf numFmtId="0" fontId="0" fillId="2" borderId="15" xfId="0" applyFont="1" applyFill="1" applyBorder="1" applyAlignment="1" applyProtection="1">
      <alignment horizontal="left"/>
    </xf>
    <xf numFmtId="0" fontId="0" fillId="2" borderId="2" xfId="0" applyFont="1" applyFill="1" applyBorder="1" applyAlignment="1" applyProtection="1">
      <alignment horizontal="left"/>
    </xf>
    <xf numFmtId="10" fontId="11" fillId="2" borderId="14" xfId="2" applyNumberFormat="1" applyFont="1" applyFill="1" applyBorder="1" applyAlignment="1" applyProtection="1">
      <alignment horizontal="center" wrapText="1"/>
    </xf>
    <xf numFmtId="10" fontId="11" fillId="2" borderId="2" xfId="2" applyNumberFormat="1" applyFont="1" applyFill="1" applyBorder="1" applyAlignment="1" applyProtection="1">
      <alignment horizontal="center" wrapText="1"/>
    </xf>
    <xf numFmtId="44" fontId="0" fillId="4" borderId="2" xfId="1" applyNumberFormat="1" applyFont="1" applyFill="1" applyBorder="1" applyProtection="1"/>
    <xf numFmtId="0" fontId="3" fillId="2" borderId="7" xfId="0" applyFont="1" applyFill="1" applyBorder="1" applyProtection="1"/>
    <xf numFmtId="0" fontId="3" fillId="2" borderId="1" xfId="0" applyFont="1" applyFill="1" applyBorder="1" applyProtection="1"/>
    <xf numFmtId="0" fontId="11" fillId="2" borderId="14" xfId="0" applyFont="1" applyFill="1" applyBorder="1" applyProtection="1"/>
    <xf numFmtId="0" fontId="11" fillId="2" borderId="15" xfId="0" applyFont="1" applyFill="1" applyBorder="1" applyProtection="1"/>
    <xf numFmtId="10" fontId="11" fillId="2" borderId="15" xfId="0" applyNumberFormat="1" applyFont="1" applyFill="1" applyBorder="1" applyProtection="1"/>
    <xf numFmtId="44" fontId="11" fillId="2" borderId="16" xfId="1" applyFont="1" applyFill="1" applyBorder="1" applyProtection="1"/>
    <xf numFmtId="0" fontId="7" fillId="0" borderId="2" xfId="0" applyFont="1" applyBorder="1" applyProtection="1"/>
    <xf numFmtId="0" fontId="7" fillId="4" borderId="14" xfId="0" applyFont="1" applyFill="1" applyBorder="1" applyAlignment="1" applyProtection="1">
      <alignment horizontal="right"/>
    </xf>
    <xf numFmtId="44" fontId="7" fillId="4" borderId="16" xfId="1" applyFont="1" applyFill="1" applyBorder="1" applyAlignment="1" applyProtection="1">
      <alignment horizontal="right"/>
    </xf>
    <xf numFmtId="0" fontId="7" fillId="4" borderId="7" xfId="0" applyFont="1" applyFill="1" applyBorder="1" applyAlignment="1" applyProtection="1">
      <alignment horizontal="right"/>
    </xf>
    <xf numFmtId="0" fontId="11" fillId="4" borderId="14" xfId="0" applyFont="1" applyFill="1" applyBorder="1" applyProtection="1"/>
    <xf numFmtId="0" fontId="11" fillId="4" borderId="15" xfId="0" applyFont="1" applyFill="1" applyBorder="1" applyProtection="1"/>
    <xf numFmtId="10" fontId="7" fillId="4" borderId="15" xfId="0" applyNumberFormat="1" applyFont="1" applyFill="1" applyBorder="1" applyProtection="1"/>
    <xf numFmtId="0" fontId="4" fillId="2" borderId="14" xfId="0" applyFont="1" applyFill="1" applyBorder="1" applyProtection="1"/>
    <xf numFmtId="0" fontId="4" fillId="2" borderId="15" xfId="0" applyFont="1" applyFill="1" applyBorder="1" applyProtection="1"/>
    <xf numFmtId="0" fontId="13" fillId="2" borderId="16" xfId="0" applyFont="1" applyFill="1" applyBorder="1" applyProtection="1"/>
    <xf numFmtId="0" fontId="7" fillId="2" borderId="68" xfId="0" applyFont="1" applyFill="1" applyBorder="1" applyProtection="1"/>
    <xf numFmtId="0" fontId="41" fillId="4" borderId="3" xfId="0" applyFont="1" applyFill="1" applyBorder="1" applyProtection="1"/>
    <xf numFmtId="0" fontId="0" fillId="4" borderId="18" xfId="0" applyFill="1" applyBorder="1" applyProtection="1"/>
    <xf numFmtId="0" fontId="41" fillId="4" borderId="6" xfId="0" applyFont="1" applyFill="1" applyBorder="1" applyProtection="1"/>
    <xf numFmtId="0" fontId="11" fillId="4" borderId="11" xfId="0" applyFont="1" applyFill="1" applyBorder="1" applyAlignment="1" applyProtection="1">
      <alignment horizontal="right"/>
    </xf>
    <xf numFmtId="0" fontId="10" fillId="4" borderId="3" xfId="0" applyFont="1" applyFill="1" applyBorder="1" applyAlignment="1" applyProtection="1">
      <alignment horizontal="left"/>
    </xf>
    <xf numFmtId="0" fontId="10" fillId="4" borderId="4" xfId="0" applyFont="1" applyFill="1" applyBorder="1" applyProtection="1"/>
    <xf numFmtId="0" fontId="0" fillId="4" borderId="18" xfId="0" applyFont="1" applyFill="1" applyBorder="1" applyProtection="1"/>
    <xf numFmtId="0" fontId="0" fillId="4" borderId="11" xfId="0" applyFill="1" applyBorder="1" applyProtection="1"/>
    <xf numFmtId="0" fontId="2" fillId="4" borderId="11" xfId="0" applyFont="1" applyFill="1" applyBorder="1" applyProtection="1"/>
    <xf numFmtId="0" fontId="7" fillId="4" borderId="1" xfId="0" applyFont="1" applyFill="1" applyBorder="1" applyProtection="1"/>
    <xf numFmtId="0" fontId="2" fillId="4" borderId="17" xfId="0" applyFont="1" applyFill="1" applyBorder="1" applyProtection="1"/>
    <xf numFmtId="0" fontId="30" fillId="4" borderId="3" xfId="0" applyFont="1" applyFill="1" applyBorder="1" applyProtection="1"/>
    <xf numFmtId="0" fontId="30" fillId="4" borderId="6" xfId="0" applyFont="1" applyFill="1" applyBorder="1" applyProtection="1"/>
    <xf numFmtId="0" fontId="3" fillId="4" borderId="11" xfId="0" applyFont="1" applyFill="1" applyBorder="1" applyAlignment="1" applyProtection="1">
      <alignment horizontal="right"/>
    </xf>
    <xf numFmtId="0" fontId="0" fillId="3" borderId="14" xfId="0" applyFont="1" applyFill="1" applyBorder="1" applyProtection="1"/>
    <xf numFmtId="0" fontId="0" fillId="3" borderId="16" xfId="0" applyFont="1" applyFill="1" applyBorder="1" applyProtection="1"/>
    <xf numFmtId="0" fontId="0" fillId="4" borderId="4" xfId="0" applyFont="1" applyFill="1" applyBorder="1" applyProtection="1"/>
    <xf numFmtId="0" fontId="0" fillId="0" borderId="0" xfId="0" applyFont="1" applyBorder="1" applyProtection="1"/>
    <xf numFmtId="0" fontId="0" fillId="0" borderId="16" xfId="0" applyFont="1" applyBorder="1" applyProtection="1"/>
    <xf numFmtId="0" fontId="20" fillId="4" borderId="4" xfId="0" applyFont="1" applyFill="1" applyBorder="1" applyProtection="1"/>
    <xf numFmtId="0" fontId="20" fillId="4" borderId="0" xfId="0" applyFont="1" applyFill="1" applyBorder="1" applyProtection="1"/>
    <xf numFmtId="0" fontId="30" fillId="7" borderId="3" xfId="0" applyFont="1" applyFill="1" applyBorder="1" applyProtection="1"/>
    <xf numFmtId="0" fontId="0" fillId="7" borderId="4" xfId="0" applyFont="1" applyFill="1" applyBorder="1" applyProtection="1"/>
    <xf numFmtId="0" fontId="20" fillId="7" borderId="4" xfId="0" applyFont="1" applyFill="1" applyBorder="1" applyProtection="1"/>
    <xf numFmtId="0" fontId="0" fillId="7" borderId="18" xfId="0" applyFont="1" applyFill="1" applyBorder="1" applyProtection="1"/>
    <xf numFmtId="0" fontId="41" fillId="7" borderId="6" xfId="0" applyFont="1" applyFill="1" applyBorder="1" applyProtection="1"/>
    <xf numFmtId="0" fontId="41" fillId="7" borderId="0" xfId="0" applyFont="1" applyFill="1" applyBorder="1" applyProtection="1"/>
    <xf numFmtId="0" fontId="11" fillId="7" borderId="11" xfId="0" applyFont="1" applyFill="1" applyBorder="1" applyAlignment="1" applyProtection="1">
      <alignment horizontal="right"/>
    </xf>
    <xf numFmtId="0" fontId="7" fillId="3" borderId="3" xfId="0" applyFont="1" applyFill="1" applyBorder="1" applyProtection="1"/>
    <xf numFmtId="0" fontId="7" fillId="3" borderId="4" xfId="0" applyFont="1" applyFill="1" applyBorder="1" applyProtection="1"/>
    <xf numFmtId="0" fontId="7" fillId="3" borderId="18" xfId="0" applyFont="1" applyFill="1" applyBorder="1" applyProtection="1"/>
    <xf numFmtId="0" fontId="15" fillId="2" borderId="14" xfId="0" applyFont="1" applyFill="1" applyBorder="1" applyProtection="1"/>
    <xf numFmtId="0" fontId="0" fillId="2" borderId="16" xfId="0" applyFont="1" applyFill="1" applyBorder="1" applyProtection="1"/>
    <xf numFmtId="0" fontId="0" fillId="4" borderId="11" xfId="0" applyFont="1" applyFill="1" applyBorder="1" applyProtection="1"/>
    <xf numFmtId="0" fontId="0" fillId="2" borderId="20" xfId="0" applyFont="1" applyFill="1" applyBorder="1" applyAlignment="1" applyProtection="1">
      <alignment horizontal="center" wrapText="1"/>
    </xf>
    <xf numFmtId="0" fontId="0" fillId="2" borderId="19" xfId="0" applyFont="1" applyFill="1" applyBorder="1" applyAlignment="1" applyProtection="1">
      <alignment horizontal="center" wrapText="1"/>
    </xf>
    <xf numFmtId="0" fontId="0" fillId="2" borderId="42" xfId="0" applyFont="1" applyFill="1" applyBorder="1" applyAlignment="1" applyProtection="1">
      <alignment horizontal="center" wrapText="1"/>
    </xf>
    <xf numFmtId="0" fontId="0" fillId="2" borderId="31" xfId="0" applyFont="1" applyFill="1" applyBorder="1" applyAlignment="1" applyProtection="1">
      <alignment horizontal="center" wrapText="1"/>
    </xf>
    <xf numFmtId="0" fontId="22" fillId="2" borderId="7" xfId="0" applyFont="1" applyFill="1" applyBorder="1" applyProtection="1"/>
    <xf numFmtId="0" fontId="0" fillId="2" borderId="1" xfId="0" applyFont="1" applyFill="1" applyBorder="1" applyProtection="1"/>
    <xf numFmtId="0" fontId="0" fillId="2" borderId="1" xfId="0" applyFont="1" applyFill="1" applyBorder="1" applyAlignment="1" applyProtection="1">
      <alignment horizontal="left"/>
    </xf>
    <xf numFmtId="0" fontId="0" fillId="2" borderId="1" xfId="0" applyFont="1" applyFill="1" applyBorder="1" applyAlignment="1" applyProtection="1">
      <alignment horizontal="center" wrapText="1"/>
    </xf>
    <xf numFmtId="0" fontId="0" fillId="2" borderId="17" xfId="0" applyFont="1" applyFill="1" applyBorder="1" applyAlignment="1" applyProtection="1">
      <alignment horizontal="center" wrapText="1"/>
    </xf>
    <xf numFmtId="0" fontId="14" fillId="4" borderId="4" xfId="3" applyFont="1" applyFill="1" applyBorder="1" applyProtection="1"/>
    <xf numFmtId="0" fontId="14" fillId="4" borderId="18" xfId="3" applyFont="1" applyFill="1" applyBorder="1" applyProtection="1"/>
    <xf numFmtId="0" fontId="31" fillId="4" borderId="7" xfId="0" applyFont="1" applyFill="1" applyBorder="1" applyProtection="1"/>
    <xf numFmtId="0" fontId="14" fillId="4" borderId="1" xfId="3" applyFont="1" applyFill="1" applyBorder="1" applyProtection="1"/>
    <xf numFmtId="0" fontId="14" fillId="4" borderId="0" xfId="3" applyFont="1" applyFill="1" applyBorder="1" applyProtection="1"/>
    <xf numFmtId="0" fontId="14" fillId="0" borderId="16" xfId="3" applyFont="1" applyFill="1" applyBorder="1" applyProtection="1"/>
    <xf numFmtId="0" fontId="0" fillId="3" borderId="15" xfId="0" applyFont="1" applyFill="1" applyBorder="1" applyProtection="1"/>
    <xf numFmtId="0" fontId="14" fillId="7" borderId="4" xfId="3" applyFont="1" applyFill="1" applyBorder="1" applyProtection="1"/>
    <xf numFmtId="0" fontId="14" fillId="7" borderId="18" xfId="3" applyFont="1" applyFill="1" applyBorder="1" applyProtection="1"/>
    <xf numFmtId="0" fontId="31" fillId="7" borderId="7" xfId="0" applyFont="1" applyFill="1" applyBorder="1" applyProtection="1"/>
    <xf numFmtId="0" fontId="14" fillId="7" borderId="1" xfId="3" applyFont="1" applyFill="1" applyBorder="1" applyProtection="1"/>
    <xf numFmtId="0" fontId="14" fillId="7" borderId="0" xfId="3" applyFont="1" applyFill="1" applyBorder="1" applyProtection="1"/>
    <xf numFmtId="49" fontId="11" fillId="7" borderId="7" xfId="3" applyNumberFormat="1" applyFont="1" applyFill="1" applyBorder="1" applyAlignment="1" applyProtection="1">
      <alignment horizontal="left"/>
    </xf>
    <xf numFmtId="0" fontId="7" fillId="7" borderId="1" xfId="3" applyFont="1" applyFill="1" applyBorder="1" applyProtection="1"/>
    <xf numFmtId="167" fontId="11" fillId="2" borderId="8" xfId="3" applyNumberFormat="1" applyFont="1" applyFill="1" applyBorder="1" applyAlignment="1" applyProtection="1">
      <alignment horizontal="center" wrapText="1"/>
    </xf>
    <xf numFmtId="167" fontId="12" fillId="2" borderId="8" xfId="3" applyNumberFormat="1" applyFont="1" applyFill="1" applyBorder="1" applyAlignment="1" applyProtection="1">
      <alignment horizontal="center" wrapText="1"/>
    </xf>
    <xf numFmtId="0" fontId="7" fillId="4" borderId="36" xfId="3" applyFont="1" applyFill="1" applyBorder="1" applyProtection="1"/>
    <xf numFmtId="49" fontId="11" fillId="4" borderId="31" xfId="3" applyNumberFormat="1" applyFont="1" applyFill="1" applyBorder="1" applyAlignment="1" applyProtection="1">
      <alignment horizontal="center"/>
    </xf>
    <xf numFmtId="167" fontId="11" fillId="2" borderId="14" xfId="3" applyNumberFormat="1" applyFont="1" applyFill="1" applyBorder="1" applyProtection="1"/>
    <xf numFmtId="167" fontId="11" fillId="2" borderId="16" xfId="3" applyNumberFormat="1" applyFont="1" applyFill="1" applyBorder="1" applyProtection="1"/>
    <xf numFmtId="0" fontId="7" fillId="4" borderId="0" xfId="3" applyFont="1" applyFill="1" applyBorder="1" applyProtection="1"/>
    <xf numFmtId="44" fontId="24" fillId="4" borderId="0" xfId="1" applyFont="1" applyFill="1" applyBorder="1" applyProtection="1"/>
    <xf numFmtId="0" fontId="7" fillId="4" borderId="15" xfId="3" applyFont="1" applyFill="1" applyBorder="1" applyProtection="1"/>
    <xf numFmtId="0" fontId="1" fillId="4" borderId="14" xfId="3" applyFont="1" applyFill="1" applyBorder="1" applyProtection="1"/>
    <xf numFmtId="0" fontId="11" fillId="2" borderId="0" xfId="3" applyFont="1" applyFill="1" applyBorder="1" applyAlignment="1" applyProtection="1">
      <alignment horizontal="right"/>
    </xf>
    <xf numFmtId="0" fontId="30" fillId="4" borderId="4" xfId="0" applyFont="1" applyFill="1" applyBorder="1" applyProtection="1"/>
    <xf numFmtId="0" fontId="31" fillId="4" borderId="1" xfId="0" applyFont="1" applyFill="1" applyBorder="1" applyProtection="1"/>
    <xf numFmtId="0" fontId="0" fillId="4" borderId="15" xfId="0" applyFont="1" applyFill="1" applyBorder="1" applyAlignment="1" applyProtection="1">
      <alignment horizontal="left"/>
    </xf>
    <xf numFmtId="44" fontId="7" fillId="4" borderId="5" xfId="1" applyFont="1" applyFill="1" applyBorder="1" applyProtection="1"/>
    <xf numFmtId="0" fontId="7" fillId="4" borderId="6" xfId="0" applyFont="1" applyFill="1" applyBorder="1" applyAlignment="1" applyProtection="1">
      <alignment horizontal="right"/>
    </xf>
    <xf numFmtId="0" fontId="3" fillId="2" borderId="14" xfId="0" applyFont="1" applyFill="1" applyBorder="1" applyProtection="1"/>
    <xf numFmtId="0" fontId="3" fillId="2" borderId="15" xfId="0" applyFont="1" applyFill="1" applyBorder="1" applyProtection="1"/>
    <xf numFmtId="9" fontId="7" fillId="4" borderId="0" xfId="2" applyFont="1" applyFill="1" applyBorder="1" applyAlignment="1" applyProtection="1">
      <alignment horizontal="right"/>
    </xf>
    <xf numFmtId="0" fontId="0" fillId="0" borderId="6" xfId="0" applyFont="1" applyBorder="1" applyProtection="1"/>
    <xf numFmtId="10" fontId="0" fillId="0" borderId="0" xfId="0" applyNumberFormat="1" applyFont="1" applyBorder="1" applyProtection="1"/>
    <xf numFmtId="44" fontId="0" fillId="0" borderId="5" xfId="1" applyFont="1" applyBorder="1" applyProtection="1"/>
    <xf numFmtId="44" fontId="3" fillId="4" borderId="5" xfId="1" applyFont="1" applyFill="1" applyBorder="1" applyProtection="1"/>
    <xf numFmtId="0" fontId="0" fillId="4" borderId="7" xfId="0" applyFont="1" applyFill="1" applyBorder="1" applyProtection="1"/>
    <xf numFmtId="0" fontId="0" fillId="4" borderId="1" xfId="0" applyFont="1" applyFill="1" applyBorder="1" applyProtection="1"/>
    <xf numFmtId="10" fontId="0" fillId="4" borderId="1" xfId="0" applyNumberFormat="1" applyFont="1" applyFill="1" applyBorder="1" applyProtection="1"/>
    <xf numFmtId="44" fontId="3" fillId="4" borderId="8" xfId="1" applyFont="1" applyFill="1" applyBorder="1" applyProtection="1"/>
    <xf numFmtId="0" fontId="0" fillId="4" borderId="14" xfId="0" applyFont="1" applyFill="1" applyBorder="1" applyProtection="1"/>
    <xf numFmtId="0" fontId="0" fillId="4" borderId="3" xfId="0" applyFont="1" applyFill="1" applyBorder="1" applyProtection="1"/>
    <xf numFmtId="44" fontId="0" fillId="4" borderId="13" xfId="1" applyFont="1" applyFill="1" applyBorder="1" applyProtection="1"/>
    <xf numFmtId="44" fontId="1" fillId="4" borderId="13" xfId="1" applyFont="1" applyFill="1" applyBorder="1" applyProtection="1"/>
    <xf numFmtId="0" fontId="0" fillId="0" borderId="5" xfId="0" applyFont="1" applyBorder="1" applyProtection="1"/>
    <xf numFmtId="0" fontId="0" fillId="4" borderId="16" xfId="0" applyFont="1" applyFill="1" applyBorder="1" applyProtection="1"/>
    <xf numFmtId="0" fontId="7" fillId="4" borderId="6" xfId="0" applyFont="1" applyFill="1" applyBorder="1" applyAlignment="1" applyProtection="1">
      <alignment horizontal="left"/>
    </xf>
    <xf numFmtId="0" fontId="7" fillId="4" borderId="17" xfId="0" applyFont="1" applyFill="1" applyBorder="1" applyProtection="1"/>
    <xf numFmtId="0" fontId="7" fillId="4" borderId="10" xfId="0" applyFont="1" applyFill="1" applyBorder="1" applyAlignment="1" applyProtection="1">
      <alignment horizontal="right"/>
    </xf>
    <xf numFmtId="0" fontId="11" fillId="4" borderId="0" xfId="0" applyFont="1" applyFill="1" applyBorder="1" applyProtection="1"/>
    <xf numFmtId="0" fontId="7" fillId="4" borderId="0" xfId="0" applyFont="1" applyFill="1" applyBorder="1" applyAlignment="1" applyProtection="1">
      <alignment horizontal="center"/>
    </xf>
    <xf numFmtId="0" fontId="7" fillId="4" borderId="61" xfId="0" applyFont="1" applyFill="1" applyBorder="1" applyProtection="1"/>
    <xf numFmtId="0" fontId="10" fillId="4" borderId="9" xfId="0" applyFont="1" applyFill="1" applyBorder="1" applyProtection="1"/>
    <xf numFmtId="0" fontId="7" fillId="4" borderId="9" xfId="0" applyFont="1" applyFill="1" applyBorder="1" applyProtection="1"/>
    <xf numFmtId="0" fontId="7" fillId="4" borderId="59" xfId="0" applyFont="1" applyFill="1" applyBorder="1" applyProtection="1"/>
    <xf numFmtId="0" fontId="7" fillId="7" borderId="10" xfId="0" applyFont="1" applyFill="1" applyBorder="1" applyProtection="1"/>
    <xf numFmtId="0" fontId="7" fillId="7" borderId="62" xfId="0" applyFont="1" applyFill="1" applyBorder="1" applyProtection="1"/>
    <xf numFmtId="0" fontId="7" fillId="4" borderId="15" xfId="0" applyFont="1" applyFill="1" applyBorder="1" applyProtection="1"/>
    <xf numFmtId="0" fontId="7" fillId="0" borderId="15" xfId="0" applyFont="1" applyBorder="1" applyProtection="1"/>
    <xf numFmtId="0" fontId="7" fillId="4" borderId="16" xfId="0" applyFont="1" applyFill="1" applyBorder="1" applyProtection="1"/>
    <xf numFmtId="0" fontId="41" fillId="4" borderId="4" xfId="0" applyFont="1" applyFill="1" applyBorder="1" applyProtection="1"/>
    <xf numFmtId="0" fontId="10" fillId="4" borderId="27" xfId="0" applyFont="1" applyFill="1" applyBorder="1" applyAlignment="1" applyProtection="1">
      <alignment horizontal="left"/>
    </xf>
    <xf numFmtId="0" fontId="7" fillId="3" borderId="36" xfId="0" applyFont="1" applyFill="1" applyBorder="1" applyAlignment="1" applyProtection="1">
      <alignment horizontal="right"/>
    </xf>
    <xf numFmtId="0" fontId="7" fillId="3" borderId="31" xfId="0" applyFont="1" applyFill="1" applyBorder="1" applyAlignment="1" applyProtection="1">
      <alignment horizontal="right"/>
    </xf>
    <xf numFmtId="0" fontId="14" fillId="4" borderId="11" xfId="3" applyFont="1" applyFill="1" applyBorder="1" applyProtection="1"/>
    <xf numFmtId="0" fontId="38" fillId="4" borderId="6" xfId="0" applyFont="1" applyFill="1" applyBorder="1" applyProtection="1"/>
    <xf numFmtId="0" fontId="3" fillId="2" borderId="20" xfId="0" applyFont="1" applyFill="1" applyBorder="1" applyProtection="1"/>
    <xf numFmtId="0" fontId="0" fillId="2" borderId="10" xfId="0" applyFont="1" applyFill="1" applyBorder="1" applyProtection="1"/>
    <xf numFmtId="0" fontId="0" fillId="4" borderId="24" xfId="0" applyFont="1" applyFill="1" applyBorder="1" applyAlignment="1" applyProtection="1">
      <alignment vertical="top"/>
    </xf>
    <xf numFmtId="0" fontId="0" fillId="4" borderId="24" xfId="0" applyFont="1" applyFill="1" applyBorder="1" applyAlignment="1" applyProtection="1">
      <alignment vertical="top" wrapText="1"/>
    </xf>
    <xf numFmtId="0" fontId="3" fillId="4" borderId="24" xfId="0" applyFont="1" applyFill="1" applyBorder="1" applyAlignment="1" applyProtection="1">
      <alignment horizontal="right" vertical="top" wrapText="1"/>
    </xf>
    <xf numFmtId="167" fontId="11" fillId="4" borderId="24" xfId="3" applyNumberFormat="1" applyFont="1" applyFill="1" applyBorder="1" applyAlignment="1" applyProtection="1">
      <alignment horizontal="center" vertical="top" wrapText="1"/>
    </xf>
    <xf numFmtId="167" fontId="12" fillId="4" borderId="24" xfId="3" applyNumberFormat="1" applyFont="1" applyFill="1" applyBorder="1" applyAlignment="1" applyProtection="1">
      <alignment horizontal="center" vertical="top" wrapText="1"/>
    </xf>
    <xf numFmtId="0" fontId="23" fillId="2" borderId="26" xfId="0" applyFont="1" applyFill="1" applyBorder="1" applyProtection="1"/>
    <xf numFmtId="0" fontId="3" fillId="2" borderId="25" xfId="0" applyFont="1" applyFill="1" applyBorder="1" applyProtection="1"/>
    <xf numFmtId="0" fontId="0" fillId="2" borderId="28" xfId="0" applyFont="1" applyFill="1" applyBorder="1" applyProtection="1"/>
    <xf numFmtId="0" fontId="0" fillId="4" borderId="19" xfId="0" applyFont="1" applyFill="1" applyBorder="1" applyAlignment="1" applyProtection="1">
      <alignment vertical="top"/>
    </xf>
    <xf numFmtId="0" fontId="0" fillId="4" borderId="19" xfId="0" applyFont="1" applyFill="1" applyBorder="1" applyAlignment="1" applyProtection="1">
      <alignment vertical="top" wrapText="1"/>
    </xf>
    <xf numFmtId="0" fontId="3" fillId="4" borderId="19" xfId="0" applyFont="1" applyFill="1" applyBorder="1" applyAlignment="1" applyProtection="1">
      <alignment horizontal="right" vertical="top" wrapText="1"/>
    </xf>
    <xf numFmtId="167" fontId="12" fillId="4" borderId="19" xfId="3" applyNumberFormat="1" applyFont="1" applyFill="1" applyBorder="1" applyAlignment="1" applyProtection="1">
      <alignment horizontal="center" vertical="top" wrapText="1"/>
    </xf>
    <xf numFmtId="167" fontId="11" fillId="4" borderId="19" xfId="3" applyNumberFormat="1" applyFont="1" applyFill="1" applyBorder="1" applyAlignment="1" applyProtection="1">
      <alignment horizontal="center" vertical="top" wrapText="1"/>
    </xf>
    <xf numFmtId="0" fontId="18" fillId="2" borderId="20" xfId="0" applyFont="1" applyFill="1" applyBorder="1" applyProtection="1"/>
    <xf numFmtId="0" fontId="11" fillId="2" borderId="19" xfId="0" applyFont="1" applyFill="1" applyBorder="1" applyProtection="1"/>
    <xf numFmtId="0" fontId="7" fillId="4" borderId="19" xfId="0" applyFont="1" applyFill="1" applyBorder="1" applyAlignment="1" applyProtection="1">
      <alignment vertical="top"/>
    </xf>
    <xf numFmtId="0" fontId="7" fillId="4" borderId="19" xfId="0" applyFont="1" applyFill="1" applyBorder="1" applyAlignment="1" applyProtection="1">
      <alignment vertical="top" wrapText="1"/>
    </xf>
    <xf numFmtId="0" fontId="11" fillId="4" borderId="19" xfId="0" applyFont="1" applyFill="1" applyBorder="1" applyAlignment="1" applyProtection="1">
      <alignment horizontal="right" vertical="top" wrapText="1"/>
    </xf>
    <xf numFmtId="0" fontId="18" fillId="2" borderId="26" xfId="0" applyFont="1" applyFill="1" applyBorder="1" applyProtection="1"/>
    <xf numFmtId="0" fontId="11" fillId="2" borderId="25" xfId="0" applyFont="1" applyFill="1" applyBorder="1" applyProtection="1"/>
    <xf numFmtId="17" fontId="10" fillId="2" borderId="20" xfId="0" applyNumberFormat="1" applyFont="1" applyFill="1" applyBorder="1" applyProtection="1"/>
    <xf numFmtId="0" fontId="7" fillId="2" borderId="10" xfId="0" applyFont="1" applyFill="1" applyBorder="1" applyProtection="1"/>
    <xf numFmtId="0" fontId="7" fillId="2" borderId="19" xfId="0" applyFont="1" applyFill="1" applyBorder="1" applyProtection="1"/>
    <xf numFmtId="0" fontId="11" fillId="2" borderId="19" xfId="0" applyFont="1" applyFill="1" applyBorder="1" applyAlignment="1" applyProtection="1">
      <alignment horizontal="right"/>
    </xf>
    <xf numFmtId="0" fontId="7" fillId="4" borderId="32" xfId="0" applyFont="1" applyFill="1" applyBorder="1" applyProtection="1"/>
    <xf numFmtId="0" fontId="7" fillId="4" borderId="29" xfId="0" applyFont="1" applyFill="1" applyBorder="1" applyProtection="1"/>
    <xf numFmtId="10" fontId="7" fillId="4" borderId="5" xfId="2" applyNumberFormat="1" applyFont="1" applyFill="1" applyBorder="1" applyProtection="1"/>
    <xf numFmtId="164" fontId="11" fillId="4" borderId="8" xfId="0" applyNumberFormat="1" applyFont="1" applyFill="1" applyBorder="1" applyProtection="1"/>
    <xf numFmtId="0" fontId="7" fillId="4" borderId="5" xfId="0" applyFont="1" applyFill="1" applyBorder="1" applyProtection="1"/>
    <xf numFmtId="0" fontId="10" fillId="2" borderId="32" xfId="0" applyFont="1" applyFill="1" applyBorder="1" applyProtection="1"/>
    <xf numFmtId="0" fontId="11" fillId="2" borderId="29" xfId="0" applyFont="1" applyFill="1" applyBorder="1" applyProtection="1"/>
    <xf numFmtId="2" fontId="11" fillId="2" borderId="30" xfId="0" applyNumberFormat="1" applyFont="1" applyFill="1" applyBorder="1" applyProtection="1"/>
    <xf numFmtId="0" fontId="11" fillId="2" borderId="30" xfId="0" applyFont="1" applyFill="1" applyBorder="1" applyAlignment="1" applyProtection="1">
      <alignment horizontal="right"/>
    </xf>
    <xf numFmtId="0" fontId="7" fillId="2" borderId="0" xfId="0" applyFont="1" applyFill="1" applyBorder="1" applyProtection="1"/>
    <xf numFmtId="0" fontId="10" fillId="2" borderId="0" xfId="0" applyFont="1" applyFill="1" applyBorder="1" applyAlignment="1" applyProtection="1">
      <alignment horizontal="right"/>
    </xf>
    <xf numFmtId="0" fontId="7" fillId="2" borderId="5" xfId="0" applyFont="1" applyFill="1" applyBorder="1" applyProtection="1"/>
    <xf numFmtId="0" fontId="11" fillId="2" borderId="7" xfId="0" applyFont="1" applyFill="1" applyBorder="1" applyProtection="1"/>
    <xf numFmtId="0" fontId="10" fillId="2" borderId="17" xfId="0" applyFont="1" applyFill="1" applyBorder="1" applyAlignment="1" applyProtection="1">
      <alignment horizontal="right"/>
    </xf>
    <xf numFmtId="0" fontId="7" fillId="2" borderId="8" xfId="0" applyFont="1" applyFill="1" applyBorder="1" applyProtection="1"/>
    <xf numFmtId="0" fontId="11" fillId="2" borderId="0" xfId="0" applyFont="1" applyFill="1" applyBorder="1" applyProtection="1"/>
    <xf numFmtId="0" fontId="11" fillId="2" borderId="58" xfId="0" applyFont="1" applyFill="1" applyBorder="1" applyProtection="1"/>
    <xf numFmtId="0" fontId="11" fillId="2" borderId="6" xfId="0" applyFont="1" applyFill="1" applyBorder="1" applyProtection="1"/>
    <xf numFmtId="0" fontId="10" fillId="2" borderId="1" xfId="0" applyFont="1" applyFill="1" applyBorder="1" applyAlignment="1" applyProtection="1">
      <alignment horizontal="right"/>
    </xf>
    <xf numFmtId="0" fontId="11" fillId="2" borderId="1" xfId="0" applyFont="1" applyFill="1" applyBorder="1" applyProtection="1"/>
    <xf numFmtId="10" fontId="7" fillId="2" borderId="8" xfId="0" applyNumberFormat="1" applyFont="1" applyFill="1" applyBorder="1" applyProtection="1"/>
    <xf numFmtId="0" fontId="40" fillId="4" borderId="3" xfId="0" applyFont="1" applyFill="1" applyBorder="1" applyProtection="1"/>
    <xf numFmtId="0" fontId="32" fillId="4" borderId="4" xfId="0" applyFont="1" applyFill="1" applyBorder="1" applyProtection="1"/>
    <xf numFmtId="0" fontId="32" fillId="4" borderId="18" xfId="0" applyFont="1" applyFill="1" applyBorder="1" applyProtection="1"/>
    <xf numFmtId="0" fontId="32" fillId="4" borderId="6" xfId="0" applyFont="1" applyFill="1" applyBorder="1" applyProtection="1"/>
    <xf numFmtId="0" fontId="32" fillId="4" borderId="0" xfId="0" applyFont="1" applyFill="1" applyBorder="1" applyProtection="1"/>
    <xf numFmtId="0" fontId="32" fillId="4" borderId="11" xfId="0" applyFont="1" applyFill="1" applyBorder="1" applyProtection="1"/>
    <xf numFmtId="0" fontId="32" fillId="4" borderId="0" xfId="0" applyFont="1" applyFill="1" applyBorder="1" applyAlignment="1" applyProtection="1">
      <alignment horizontal="right" wrapText="1"/>
    </xf>
    <xf numFmtId="0" fontId="32" fillId="4" borderId="7" xfId="0" applyFont="1" applyFill="1" applyBorder="1" applyProtection="1"/>
    <xf numFmtId="0" fontId="32" fillId="4" borderId="1" xfId="0" applyFont="1" applyFill="1" applyBorder="1" applyProtection="1"/>
    <xf numFmtId="10" fontId="32" fillId="4" borderId="0" xfId="0" applyNumberFormat="1" applyFont="1" applyFill="1" applyBorder="1" applyAlignment="1" applyProtection="1">
      <alignment horizontal="right"/>
    </xf>
    <xf numFmtId="0" fontId="32" fillId="4" borderId="0" xfId="0" applyFont="1" applyFill="1" applyBorder="1" applyAlignment="1" applyProtection="1">
      <alignment horizontal="right"/>
    </xf>
    <xf numFmtId="0" fontId="32" fillId="4" borderId="45" xfId="0" applyFont="1" applyFill="1" applyBorder="1" applyProtection="1"/>
    <xf numFmtId="0" fontId="32" fillId="4" borderId="46" xfId="0" applyFont="1" applyFill="1" applyBorder="1" applyProtection="1"/>
    <xf numFmtId="0" fontId="32" fillId="4" borderId="46" xfId="0" applyFont="1" applyFill="1" applyBorder="1" applyAlignment="1" applyProtection="1">
      <alignment horizontal="right"/>
    </xf>
    <xf numFmtId="0" fontId="32" fillId="4" borderId="1" xfId="0" applyFont="1" applyFill="1" applyBorder="1" applyAlignment="1" applyProtection="1">
      <alignment horizontal="right"/>
    </xf>
    <xf numFmtId="0" fontId="32" fillId="4" borderId="17" xfId="0" applyFont="1" applyFill="1" applyBorder="1" applyProtection="1"/>
    <xf numFmtId="2" fontId="7" fillId="0" borderId="0" xfId="0" applyNumberFormat="1" applyFont="1" applyProtection="1">
      <protection locked="0"/>
    </xf>
    <xf numFmtId="0" fontId="18" fillId="4" borderId="0" xfId="0" applyFont="1" applyFill="1" applyBorder="1" applyProtection="1"/>
    <xf numFmtId="0" fontId="21" fillId="4" borderId="0" xfId="0" applyFont="1" applyFill="1" applyBorder="1" applyProtection="1"/>
    <xf numFmtId="0" fontId="11" fillId="2" borderId="14" xfId="0" applyFont="1" applyFill="1" applyBorder="1" applyAlignment="1" applyProtection="1">
      <alignment horizontal="left"/>
    </xf>
    <xf numFmtId="0" fontId="32" fillId="4" borderId="11" xfId="0" applyFont="1" applyFill="1" applyBorder="1" applyAlignment="1" applyProtection="1">
      <alignment horizontal="left" indent="1"/>
    </xf>
    <xf numFmtId="0" fontId="18" fillId="2" borderId="14" xfId="0" applyFont="1" applyFill="1" applyBorder="1" applyAlignment="1" applyProtection="1">
      <alignment horizontal="left"/>
    </xf>
    <xf numFmtId="0" fontId="18" fillId="2" borderId="15" xfId="0" applyFont="1" applyFill="1" applyBorder="1" applyProtection="1"/>
    <xf numFmtId="0" fontId="21" fillId="2" borderId="15" xfId="0" applyFont="1" applyFill="1" applyBorder="1" applyProtection="1"/>
    <xf numFmtId="10" fontId="32" fillId="4" borderId="2" xfId="0" applyNumberFormat="1" applyFont="1" applyFill="1" applyBorder="1" applyProtection="1"/>
    <xf numFmtId="44" fontId="0" fillId="4" borderId="5" xfId="1" applyFont="1" applyFill="1" applyBorder="1" applyProtection="1"/>
    <xf numFmtId="0" fontId="18" fillId="2" borderId="14" xfId="0" applyFont="1" applyFill="1" applyBorder="1" applyProtection="1"/>
    <xf numFmtId="165" fontId="21" fillId="2" borderId="2" xfId="0" applyNumberFormat="1" applyFont="1" applyFill="1" applyBorder="1" applyProtection="1"/>
    <xf numFmtId="0" fontId="7" fillId="4" borderId="2" xfId="0" applyFont="1" applyFill="1" applyBorder="1" applyProtection="1"/>
    <xf numFmtId="0" fontId="0" fillId="2" borderId="2" xfId="0" applyFont="1" applyFill="1" applyBorder="1" applyProtection="1"/>
    <xf numFmtId="0" fontId="16" fillId="4" borderId="6" xfId="0" applyFont="1" applyFill="1" applyBorder="1" applyProtection="1"/>
    <xf numFmtId="0" fontId="14" fillId="4" borderId="14" xfId="0" applyFont="1" applyFill="1" applyBorder="1" applyProtection="1"/>
    <xf numFmtId="0" fontId="20" fillId="4" borderId="16" xfId="0" applyFont="1" applyFill="1" applyBorder="1" applyProtection="1"/>
    <xf numFmtId="0" fontId="14" fillId="4" borderId="2" xfId="0" applyFont="1" applyFill="1" applyBorder="1" applyAlignment="1" applyProtection="1">
      <alignment horizontal="right"/>
    </xf>
    <xf numFmtId="0" fontId="20" fillId="4" borderId="17" xfId="0" applyFont="1" applyFill="1" applyBorder="1" applyProtection="1"/>
    <xf numFmtId="165" fontId="21" fillId="2" borderId="16" xfId="0" applyNumberFormat="1" applyFont="1" applyFill="1" applyBorder="1" applyProtection="1"/>
    <xf numFmtId="0" fontId="14" fillId="4" borderId="0" xfId="0" applyFont="1" applyFill="1" applyBorder="1" applyAlignment="1" applyProtection="1">
      <alignment horizontal="right"/>
    </xf>
    <xf numFmtId="0" fontId="7" fillId="0" borderId="14" xfId="0" applyFont="1" applyBorder="1" applyProtection="1"/>
    <xf numFmtId="0" fontId="7" fillId="0" borderId="14" xfId="0" applyFont="1" applyFill="1" applyBorder="1" applyProtection="1"/>
    <xf numFmtId="10" fontId="1" fillId="2" borderId="2" xfId="0" applyNumberFormat="1" applyFont="1" applyFill="1" applyBorder="1" applyProtection="1"/>
    <xf numFmtId="0" fontId="14" fillId="4" borderId="12" xfId="0" applyFont="1" applyFill="1" applyBorder="1" applyProtection="1"/>
    <xf numFmtId="167" fontId="7" fillId="2" borderId="13" xfId="3" applyNumberFormat="1" applyFont="1" applyFill="1" applyBorder="1" applyAlignment="1" applyProtection="1">
      <alignment horizontal="center" wrapText="1"/>
    </xf>
    <xf numFmtId="167" fontId="7" fillId="2" borderId="8" xfId="3" applyNumberFormat="1" applyFont="1" applyFill="1" applyBorder="1" applyAlignment="1" applyProtection="1">
      <alignment horizontal="center" wrapText="1"/>
    </xf>
    <xf numFmtId="0" fontId="7" fillId="0" borderId="7" xfId="0" applyFont="1" applyBorder="1" applyProtection="1"/>
    <xf numFmtId="0" fontId="0" fillId="0" borderId="1" xfId="0" applyFont="1" applyBorder="1" applyProtection="1"/>
    <xf numFmtId="0" fontId="0" fillId="0" borderId="15" xfId="0" applyFont="1" applyBorder="1" applyProtection="1"/>
    <xf numFmtId="0" fontId="33" fillId="2" borderId="14" xfId="0" applyFont="1" applyFill="1" applyBorder="1" applyAlignment="1" applyProtection="1">
      <alignment horizontal="left"/>
    </xf>
    <xf numFmtId="0" fontId="33" fillId="2" borderId="1" xfId="0" applyFont="1" applyFill="1" applyBorder="1" applyProtection="1"/>
    <xf numFmtId="0" fontId="33" fillId="2" borderId="1" xfId="0" applyFont="1" applyFill="1" applyBorder="1" applyAlignment="1" applyProtection="1">
      <alignment horizontal="right"/>
    </xf>
    <xf numFmtId="0" fontId="10" fillId="2" borderId="14" xfId="0" applyFont="1" applyFill="1" applyBorder="1" applyAlignment="1" applyProtection="1">
      <alignment horizontal="left"/>
    </xf>
    <xf numFmtId="0" fontId="10" fillId="2" borderId="1" xfId="0" applyFont="1" applyFill="1" applyBorder="1" applyProtection="1"/>
    <xf numFmtId="0" fontId="20" fillId="2" borderId="15" xfId="0" applyFont="1" applyFill="1" applyBorder="1" applyProtection="1"/>
    <xf numFmtId="0" fontId="20" fillId="2" borderId="16" xfId="0" applyFont="1" applyFill="1" applyBorder="1" applyProtection="1"/>
    <xf numFmtId="0" fontId="0" fillId="4" borderId="14" xfId="0" applyFont="1" applyFill="1" applyBorder="1" applyAlignment="1" applyProtection="1">
      <alignment wrapText="1"/>
    </xf>
    <xf numFmtId="0" fontId="0" fillId="4" borderId="15" xfId="0" applyFont="1" applyFill="1" applyBorder="1" applyAlignment="1" applyProtection="1">
      <alignment horizontal="center"/>
    </xf>
    <xf numFmtId="0" fontId="3" fillId="0" borderId="6" xfId="0" applyFont="1" applyFill="1" applyBorder="1" applyAlignment="1" applyProtection="1">
      <alignment wrapText="1"/>
    </xf>
    <xf numFmtId="44" fontId="0" fillId="4" borderId="0" xfId="0" applyNumberFormat="1" applyFont="1" applyFill="1" applyBorder="1" applyAlignment="1" applyProtection="1">
      <alignment horizontal="right"/>
    </xf>
    <xf numFmtId="0" fontId="20" fillId="4" borderId="11" xfId="0" applyFont="1" applyFill="1" applyBorder="1" applyProtection="1"/>
    <xf numFmtId="0" fontId="22" fillId="2" borderId="40" xfId="0" applyFont="1" applyFill="1" applyBorder="1" applyProtection="1"/>
    <xf numFmtId="0" fontId="0" fillId="2" borderId="41" xfId="0" applyFont="1" applyFill="1" applyBorder="1" applyProtection="1"/>
    <xf numFmtId="0" fontId="22" fillId="2" borderId="26" xfId="0" applyFont="1" applyFill="1" applyBorder="1" applyProtection="1"/>
    <xf numFmtId="0" fontId="7" fillId="2" borderId="14" xfId="0" applyFont="1" applyFill="1" applyBorder="1" applyProtection="1"/>
    <xf numFmtId="0" fontId="14" fillId="0" borderId="6" xfId="0" applyFont="1" applyFill="1" applyBorder="1" applyProtection="1"/>
    <xf numFmtId="44" fontId="7" fillId="0" borderId="0" xfId="1" applyFont="1" applyFill="1" applyBorder="1" applyProtection="1"/>
    <xf numFmtId="10" fontId="1" fillId="0" borderId="0" xfId="0" applyNumberFormat="1" applyFont="1" applyFill="1" applyBorder="1" applyProtection="1"/>
    <xf numFmtId="44" fontId="1" fillId="0" borderId="11" xfId="1" applyFont="1" applyFill="1" applyBorder="1" applyProtection="1"/>
    <xf numFmtId="0" fontId="7" fillId="2" borderId="15" xfId="0" applyFont="1" applyFill="1" applyBorder="1" applyProtection="1"/>
    <xf numFmtId="44" fontId="0" fillId="4" borderId="11" xfId="1" applyFont="1" applyFill="1" applyBorder="1" applyProtection="1"/>
    <xf numFmtId="0" fontId="15" fillId="2" borderId="2" xfId="0" applyFont="1" applyFill="1" applyBorder="1" applyProtection="1"/>
    <xf numFmtId="0" fontId="3" fillId="2" borderId="2" xfId="0" applyFont="1" applyFill="1" applyBorder="1" applyAlignment="1" applyProtection="1">
      <alignment horizontal="right"/>
    </xf>
    <xf numFmtId="0" fontId="7" fillId="0" borderId="0" xfId="0" applyFont="1" applyAlignment="1" applyProtection="1">
      <alignment horizontal="right"/>
    </xf>
    <xf numFmtId="0" fontId="47" fillId="4" borderId="6" xfId="0" applyFont="1" applyFill="1" applyBorder="1" applyProtection="1"/>
    <xf numFmtId="0" fontId="47" fillId="4" borderId="0" xfId="0" applyFont="1" applyFill="1" applyBorder="1" applyProtection="1"/>
    <xf numFmtId="165" fontId="21" fillId="4" borderId="11" xfId="0" applyNumberFormat="1" applyFont="1" applyFill="1" applyBorder="1" applyProtection="1"/>
    <xf numFmtId="0" fontId="32" fillId="4" borderId="0" xfId="0" applyFont="1" applyFill="1" applyBorder="1" applyAlignment="1" applyProtection="1">
      <alignment horizontal="left" indent="1"/>
    </xf>
    <xf numFmtId="0" fontId="18" fillId="4" borderId="6" xfId="0" applyFont="1" applyFill="1" applyBorder="1" applyAlignment="1" applyProtection="1">
      <alignment horizontal="left"/>
    </xf>
    <xf numFmtId="44" fontId="21" fillId="4" borderId="5" xfId="1" applyFont="1" applyFill="1" applyBorder="1" applyProtection="1"/>
    <xf numFmtId="0" fontId="0" fillId="0" borderId="6" xfId="0" applyFont="1" applyBorder="1" applyAlignment="1" applyProtection="1">
      <alignment horizontal="left"/>
    </xf>
    <xf numFmtId="0" fontId="20" fillId="0" borderId="0" xfId="0" applyFont="1" applyBorder="1" applyProtection="1"/>
    <xf numFmtId="44" fontId="20" fillId="0" borderId="11" xfId="1" applyFont="1" applyBorder="1" applyProtection="1"/>
    <xf numFmtId="0" fontId="27" fillId="2" borderId="14" xfId="0" applyFont="1" applyFill="1" applyBorder="1" applyAlignment="1" applyProtection="1">
      <alignment horizontal="left"/>
    </xf>
    <xf numFmtId="44" fontId="21" fillId="2" borderId="16" xfId="1" applyFont="1" applyFill="1" applyBorder="1" applyProtection="1"/>
    <xf numFmtId="44" fontId="20" fillId="4" borderId="0" xfId="1" applyFont="1" applyFill="1" applyBorder="1" applyProtection="1"/>
    <xf numFmtId="0" fontId="21" fillId="4" borderId="6" xfId="0" applyFont="1" applyFill="1" applyBorder="1" applyProtection="1"/>
    <xf numFmtId="0" fontId="14" fillId="4" borderId="0" xfId="0" applyFont="1" applyFill="1" applyBorder="1" applyProtection="1"/>
    <xf numFmtId="0" fontId="14" fillId="0" borderId="14" xfId="0" applyFont="1" applyFill="1" applyBorder="1" applyProtection="1"/>
    <xf numFmtId="0" fontId="14" fillId="4" borderId="15" xfId="0" applyFont="1" applyFill="1" applyBorder="1" applyProtection="1"/>
    <xf numFmtId="10" fontId="20" fillId="4" borderId="15" xfId="0" applyNumberFormat="1" applyFont="1" applyFill="1" applyBorder="1" applyProtection="1"/>
    <xf numFmtId="0" fontId="20" fillId="4" borderId="15" xfId="0" applyFont="1" applyFill="1" applyBorder="1" applyProtection="1"/>
    <xf numFmtId="0" fontId="14" fillId="2" borderId="15" xfId="0" applyFont="1" applyFill="1" applyBorder="1" applyProtection="1"/>
    <xf numFmtId="10" fontId="20" fillId="2" borderId="15" xfId="0" applyNumberFormat="1" applyFont="1" applyFill="1" applyBorder="1" applyProtection="1"/>
    <xf numFmtId="44" fontId="20" fillId="4" borderId="18" xfId="1" applyFont="1" applyFill="1" applyBorder="1" applyProtection="1"/>
    <xf numFmtId="0" fontId="14" fillId="4" borderId="1" xfId="0" applyFont="1" applyFill="1" applyBorder="1" applyProtection="1"/>
    <xf numFmtId="0" fontId="7" fillId="4" borderId="17" xfId="0" applyFont="1" applyFill="1" applyBorder="1" applyAlignment="1" applyProtection="1">
      <alignment horizontal="right"/>
    </xf>
    <xf numFmtId="44" fontId="20" fillId="4" borderId="11" xfId="1" applyFont="1" applyFill="1" applyBorder="1" applyProtection="1"/>
    <xf numFmtId="0" fontId="21" fillId="4" borderId="11" xfId="0" applyFont="1" applyFill="1" applyBorder="1" applyAlignment="1" applyProtection="1">
      <alignment horizontal="center"/>
    </xf>
    <xf numFmtId="0" fontId="7" fillId="0" borderId="2" xfId="0" applyFont="1" applyFill="1" applyBorder="1" applyProtection="1"/>
    <xf numFmtId="10" fontId="20" fillId="4" borderId="6" xfId="0" applyNumberFormat="1" applyFont="1" applyFill="1" applyBorder="1" applyProtection="1"/>
    <xf numFmtId="165" fontId="20" fillId="4" borderId="11" xfId="0" applyNumberFormat="1" applyFont="1" applyFill="1" applyBorder="1" applyProtection="1"/>
    <xf numFmtId="0" fontId="20" fillId="4" borderId="6" xfId="0" applyFont="1" applyFill="1" applyBorder="1" applyProtection="1"/>
    <xf numFmtId="44" fontId="0" fillId="4" borderId="0" xfId="1" applyFont="1" applyFill="1" applyBorder="1" applyProtection="1"/>
    <xf numFmtId="44" fontId="21" fillId="4" borderId="11" xfId="1" applyFont="1" applyFill="1" applyBorder="1" applyAlignment="1" applyProtection="1">
      <alignment horizontal="center"/>
    </xf>
    <xf numFmtId="165" fontId="20" fillId="4" borderId="0" xfId="0" applyNumberFormat="1" applyFont="1" applyFill="1" applyBorder="1" applyProtection="1"/>
    <xf numFmtId="44" fontId="0" fillId="4" borderId="3" xfId="1" applyFont="1" applyFill="1" applyBorder="1" applyProtection="1"/>
    <xf numFmtId="44" fontId="0" fillId="4" borderId="18" xfId="1" applyFont="1" applyFill="1" applyBorder="1" applyProtection="1"/>
    <xf numFmtId="44" fontId="0" fillId="4" borderId="6" xfId="1" applyFont="1" applyFill="1" applyBorder="1" applyProtection="1"/>
    <xf numFmtId="44" fontId="7" fillId="4" borderId="17" xfId="1" applyFont="1" applyFill="1" applyBorder="1" applyProtection="1"/>
    <xf numFmtId="49" fontId="11" fillId="2" borderId="7" xfId="3" applyNumberFormat="1" applyFont="1" applyFill="1" applyBorder="1" applyAlignment="1" applyProtection="1">
      <alignment horizontal="left"/>
    </xf>
    <xf numFmtId="167" fontId="11" fillId="2" borderId="7" xfId="3" applyNumberFormat="1" applyFont="1" applyFill="1" applyBorder="1" applyAlignment="1" applyProtection="1">
      <alignment horizontal="center" wrapText="1"/>
    </xf>
    <xf numFmtId="167" fontId="39" fillId="2" borderId="43" xfId="3" applyNumberFormat="1" applyFont="1" applyFill="1" applyBorder="1" applyAlignment="1" applyProtection="1">
      <alignment horizontal="center" wrapText="1"/>
    </xf>
    <xf numFmtId="0" fontId="11" fillId="4" borderId="36" xfId="3" applyFont="1" applyFill="1" applyBorder="1" applyProtection="1"/>
    <xf numFmtId="10" fontId="39" fillId="4" borderId="44" xfId="2" applyNumberFormat="1" applyFont="1" applyFill="1" applyBorder="1" applyAlignment="1" applyProtection="1">
      <alignment horizontal="center"/>
    </xf>
    <xf numFmtId="167" fontId="11" fillId="2" borderId="7" xfId="3" applyNumberFormat="1" applyFont="1" applyFill="1" applyBorder="1" applyProtection="1"/>
    <xf numFmtId="44" fontId="2" fillId="4" borderId="13" xfId="1" applyFont="1" applyFill="1" applyBorder="1" applyProtection="1"/>
    <xf numFmtId="44" fontId="2" fillId="0" borderId="13" xfId="1" applyFont="1" applyBorder="1" applyProtection="1"/>
    <xf numFmtId="0" fontId="11" fillId="2" borderId="14" xfId="0" applyFont="1" applyFill="1" applyBorder="1" applyAlignment="1" applyProtection="1">
      <alignment horizontal="center" vertical="top" wrapText="1"/>
    </xf>
    <xf numFmtId="10" fontId="20" fillId="3" borderId="2" xfId="2" applyNumberFormat="1" applyFont="1" applyFill="1" applyBorder="1" applyProtection="1">
      <protection locked="0"/>
    </xf>
    <xf numFmtId="0" fontId="0" fillId="4" borderId="11" xfId="0" applyFont="1" applyFill="1" applyBorder="1" applyAlignment="1" applyProtection="1">
      <alignment horizontal="right"/>
    </xf>
    <xf numFmtId="0" fontId="0" fillId="0" borderId="0" xfId="0" applyProtection="1"/>
    <xf numFmtId="0" fontId="0" fillId="0" borderId="0" xfId="0" applyFont="1" applyProtection="1"/>
    <xf numFmtId="0" fontId="3" fillId="0" borderId="0" xfId="0" applyFont="1" applyFill="1" applyProtection="1"/>
    <xf numFmtId="0" fontId="0" fillId="0" borderId="0" xfId="0" applyFont="1" applyFill="1" applyBorder="1" applyProtection="1"/>
    <xf numFmtId="0" fontId="7" fillId="4" borderId="2" xfId="0" applyFont="1" applyFill="1" applyBorder="1" applyAlignment="1" applyProtection="1">
      <alignment horizontal="right"/>
    </xf>
    <xf numFmtId="0" fontId="0" fillId="4" borderId="17" xfId="0" applyFont="1" applyFill="1" applyBorder="1" applyProtection="1"/>
    <xf numFmtId="10" fontId="0" fillId="3" borderId="2" xfId="0" applyNumberFormat="1" applyFont="1" applyFill="1" applyBorder="1" applyProtection="1">
      <protection locked="0"/>
    </xf>
    <xf numFmtId="10" fontId="0" fillId="2" borderId="2" xfId="0" applyNumberFormat="1" applyFont="1" applyFill="1" applyBorder="1" applyProtection="1"/>
    <xf numFmtId="10" fontId="7" fillId="5" borderId="2" xfId="2" applyNumberFormat="1" applyFont="1" applyFill="1" applyBorder="1" applyProtection="1">
      <protection locked="0"/>
    </xf>
    <xf numFmtId="0" fontId="11" fillId="7" borderId="11" xfId="3" applyFont="1" applyFill="1" applyBorder="1" applyAlignment="1" applyProtection="1">
      <alignment horizontal="right"/>
    </xf>
    <xf numFmtId="167" fontId="7" fillId="3" borderId="14" xfId="3" applyNumberFormat="1" applyFont="1" applyFill="1" applyBorder="1" applyAlignment="1" applyProtection="1">
      <alignment wrapText="1"/>
      <protection locked="0"/>
    </xf>
    <xf numFmtId="0" fontId="0" fillId="0" borderId="0" xfId="0" applyAlignment="1" applyProtection="1">
      <alignment vertical="center"/>
      <protection locked="0"/>
    </xf>
    <xf numFmtId="0" fontId="7" fillId="0" borderId="0" xfId="3" applyFont="1" applyFill="1" applyProtection="1">
      <protection locked="0"/>
    </xf>
    <xf numFmtId="0" fontId="15" fillId="4" borderId="6" xfId="0" applyFont="1" applyFill="1" applyBorder="1" applyProtection="1"/>
    <xf numFmtId="0" fontId="22" fillId="4" borderId="6" xfId="0" applyFont="1" applyFill="1" applyBorder="1" applyProtection="1"/>
    <xf numFmtId="0" fontId="7" fillId="4" borderId="24" xfId="0" applyFont="1" applyFill="1" applyBorder="1" applyAlignment="1" applyProtection="1">
      <alignment horizontal="center"/>
    </xf>
    <xf numFmtId="0" fontId="54" fillId="4" borderId="0" xfId="3" applyFont="1" applyFill="1" applyBorder="1" applyProtection="1"/>
    <xf numFmtId="0" fontId="2" fillId="4" borderId="0" xfId="3" applyFont="1" applyFill="1" applyBorder="1" applyProtection="1"/>
    <xf numFmtId="0" fontId="14" fillId="2" borderId="15" xfId="3" applyFont="1" applyFill="1" applyBorder="1" applyProtection="1"/>
    <xf numFmtId="0" fontId="14" fillId="2" borderId="16" xfId="3" applyFont="1" applyFill="1" applyBorder="1" applyProtection="1"/>
    <xf numFmtId="0" fontId="2" fillId="4" borderId="11" xfId="3" applyFont="1" applyFill="1" applyBorder="1" applyProtection="1"/>
    <xf numFmtId="0" fontId="8" fillId="4" borderId="7" xfId="0" applyFont="1" applyFill="1" applyBorder="1" applyProtection="1"/>
    <xf numFmtId="0" fontId="54" fillId="4" borderId="6" xfId="3" applyFont="1" applyFill="1" applyBorder="1" applyAlignment="1" applyProtection="1">
      <alignment horizontal="right"/>
    </xf>
    <xf numFmtId="0" fontId="2" fillId="4" borderId="1" xfId="3" applyFont="1" applyFill="1" applyBorder="1" applyProtection="1"/>
    <xf numFmtId="0" fontId="7" fillId="0" borderId="14" xfId="3" applyFont="1" applyFill="1" applyBorder="1" applyProtection="1">
      <protection locked="0"/>
    </xf>
    <xf numFmtId="0" fontId="7" fillId="4" borderId="11" xfId="3" applyFont="1" applyFill="1" applyBorder="1" applyProtection="1"/>
    <xf numFmtId="0" fontId="8" fillId="4" borderId="0" xfId="3" applyFont="1" applyFill="1" applyBorder="1" applyProtection="1"/>
    <xf numFmtId="0" fontId="7" fillId="4" borderId="17" xfId="3" applyFont="1" applyFill="1" applyBorder="1" applyAlignment="1" applyProtection="1">
      <alignment horizontal="right"/>
    </xf>
    <xf numFmtId="0" fontId="7" fillId="0" borderId="2" xfId="1" applyNumberFormat="1" applyFont="1" applyFill="1" applyBorder="1" applyAlignment="1" applyProtection="1">
      <alignment horizontal="center"/>
      <protection locked="0"/>
    </xf>
    <xf numFmtId="0" fontId="7" fillId="0" borderId="7" xfId="3" applyFont="1" applyFill="1" applyBorder="1" applyProtection="1">
      <protection locked="0"/>
    </xf>
    <xf numFmtId="0" fontId="11" fillId="4" borderId="16" xfId="3" applyFont="1" applyFill="1" applyBorder="1" applyAlignment="1" applyProtection="1">
      <alignment horizontal="right"/>
    </xf>
    <xf numFmtId="10" fontId="11" fillId="4" borderId="2" xfId="2" applyNumberFormat="1" applyFont="1" applyFill="1" applyBorder="1" applyAlignment="1" applyProtection="1">
      <alignment horizontal="center"/>
    </xf>
    <xf numFmtId="44" fontId="7" fillId="0" borderId="8" xfId="1" applyFont="1" applyFill="1" applyBorder="1" applyProtection="1"/>
    <xf numFmtId="44" fontId="7" fillId="0" borderId="24" xfId="1" applyFont="1" applyFill="1" applyBorder="1" applyProtection="1"/>
    <xf numFmtId="10" fontId="7" fillId="4" borderId="13" xfId="0" applyNumberFormat="1" applyFont="1" applyFill="1" applyBorder="1" applyProtection="1"/>
    <xf numFmtId="0" fontId="0" fillId="4" borderId="20" xfId="0" applyFill="1" applyBorder="1" applyProtection="1">
      <protection locked="0"/>
    </xf>
    <xf numFmtId="10" fontId="0" fillId="4" borderId="10" xfId="2" applyNumberFormat="1" applyFont="1" applyFill="1" applyBorder="1" applyProtection="1">
      <protection locked="0"/>
    </xf>
    <xf numFmtId="0" fontId="0" fillId="4" borderId="10" xfId="0" applyFill="1" applyBorder="1" applyProtection="1">
      <protection locked="0"/>
    </xf>
    <xf numFmtId="0" fontId="0" fillId="4" borderId="42" xfId="0" applyFill="1" applyBorder="1" applyProtection="1">
      <protection locked="0"/>
    </xf>
    <xf numFmtId="0" fontId="0" fillId="7" borderId="6" xfId="0" applyFill="1" applyBorder="1" applyProtection="1"/>
    <xf numFmtId="10" fontId="0" fillId="7" borderId="0" xfId="2" applyNumberFormat="1" applyFont="1" applyFill="1" applyBorder="1" applyProtection="1"/>
    <xf numFmtId="0" fontId="0" fillId="7" borderId="0" xfId="0" applyFill="1" applyBorder="1" applyProtection="1"/>
    <xf numFmtId="0" fontId="0" fillId="7" borderId="11" xfId="0" applyFill="1" applyBorder="1" applyProtection="1"/>
    <xf numFmtId="0" fontId="0" fillId="7" borderId="20" xfId="0" applyFill="1" applyBorder="1" applyProtection="1"/>
    <xf numFmtId="10" fontId="0" fillId="7" borderId="10" xfId="2" applyNumberFormat="1" applyFont="1" applyFill="1" applyBorder="1" applyProtection="1"/>
    <xf numFmtId="0" fontId="0" fillId="7" borderId="10" xfId="0" applyFill="1" applyBorder="1" applyProtection="1"/>
    <xf numFmtId="0" fontId="0" fillId="7" borderId="42" xfId="0" applyFill="1" applyBorder="1" applyProtection="1"/>
    <xf numFmtId="0" fontId="11" fillId="6" borderId="2" xfId="0" applyFont="1" applyFill="1" applyBorder="1" applyAlignment="1" applyProtection="1">
      <alignment horizontal="center" vertical="top" wrapText="1"/>
    </xf>
    <xf numFmtId="0" fontId="7" fillId="6" borderId="2" xfId="0" applyFont="1" applyFill="1" applyBorder="1" applyAlignment="1" applyProtection="1">
      <alignment horizontal="center" vertical="top" wrapText="1"/>
    </xf>
    <xf numFmtId="0" fontId="11" fillId="4" borderId="11" xfId="3" applyFont="1" applyFill="1" applyBorder="1" applyAlignment="1" applyProtection="1">
      <alignment horizontal="right"/>
    </xf>
    <xf numFmtId="167" fontId="7" fillId="2" borderId="5" xfId="3" applyNumberFormat="1" applyFont="1" applyFill="1" applyBorder="1" applyAlignment="1" applyProtection="1">
      <alignment horizontal="center" wrapText="1"/>
    </xf>
    <xf numFmtId="1" fontId="7" fillId="2" borderId="8" xfId="3" applyNumberFormat="1" applyFont="1" applyFill="1" applyBorder="1" applyAlignment="1" applyProtection="1">
      <alignment horizontal="center" wrapText="1"/>
    </xf>
    <xf numFmtId="0" fontId="7" fillId="2" borderId="8" xfId="3" applyNumberFormat="1" applyFont="1" applyFill="1" applyBorder="1" applyAlignment="1" applyProtection="1">
      <alignment horizontal="center" wrapText="1"/>
    </xf>
    <xf numFmtId="0" fontId="8" fillId="4" borderId="0" xfId="3" applyFont="1" applyFill="1" applyBorder="1" applyAlignment="1" applyProtection="1">
      <alignment horizontal="right"/>
    </xf>
    <xf numFmtId="0" fontId="0" fillId="3" borderId="2" xfId="0" applyFill="1" applyBorder="1" applyAlignment="1" applyProtection="1">
      <alignment horizontal="left"/>
      <protection locked="0"/>
    </xf>
    <xf numFmtId="0" fontId="0" fillId="4" borderId="4" xfId="0" applyFill="1" applyBorder="1" applyProtection="1">
      <protection locked="0"/>
    </xf>
    <xf numFmtId="0" fontId="11" fillId="4" borderId="32" xfId="0" applyFont="1" applyFill="1" applyBorder="1" applyAlignment="1" applyProtection="1">
      <alignment vertical="center"/>
      <protection locked="0"/>
    </xf>
    <xf numFmtId="167" fontId="7" fillId="4" borderId="29" xfId="3" applyNumberFormat="1" applyFont="1" applyFill="1" applyBorder="1" applyProtection="1">
      <protection locked="0"/>
    </xf>
    <xf numFmtId="44" fontId="7" fillId="4" borderId="29" xfId="1" applyFont="1" applyFill="1" applyBorder="1" applyProtection="1">
      <protection locked="0"/>
    </xf>
    <xf numFmtId="44" fontId="24" fillId="4" borderId="29" xfId="1" applyFont="1" applyFill="1" applyBorder="1" applyProtection="1"/>
    <xf numFmtId="44" fontId="7" fillId="4" borderId="57" xfId="1" applyFont="1" applyFill="1" applyBorder="1" applyProtection="1"/>
    <xf numFmtId="0" fontId="7" fillId="2" borderId="23" xfId="3" applyFont="1" applyFill="1" applyBorder="1" applyAlignment="1" applyProtection="1">
      <alignment horizontal="center"/>
    </xf>
    <xf numFmtId="44" fontId="7" fillId="0" borderId="2" xfId="1" applyFont="1" applyFill="1" applyBorder="1" applyProtection="1"/>
    <xf numFmtId="49" fontId="11" fillId="2" borderId="6" xfId="3" applyNumberFormat="1" applyFont="1" applyFill="1" applyBorder="1" applyAlignment="1" applyProtection="1">
      <alignment horizontal="left"/>
    </xf>
    <xf numFmtId="167" fontId="11" fillId="2" borderId="6" xfId="3" applyNumberFormat="1" applyFont="1" applyFill="1" applyBorder="1" applyAlignment="1" applyProtection="1">
      <alignment horizontal="center" wrapText="1"/>
    </xf>
    <xf numFmtId="167" fontId="39" fillId="2" borderId="78" xfId="3" applyNumberFormat="1" applyFont="1" applyFill="1" applyBorder="1" applyAlignment="1" applyProtection="1">
      <alignment horizontal="center" wrapText="1"/>
    </xf>
    <xf numFmtId="167" fontId="11" fillId="2" borderId="5" xfId="3" applyNumberFormat="1" applyFont="1" applyFill="1" applyBorder="1" applyAlignment="1" applyProtection="1">
      <alignment horizontal="center" wrapText="1"/>
    </xf>
    <xf numFmtId="0" fontId="15" fillId="4" borderId="20" xfId="0" applyFont="1" applyFill="1" applyBorder="1" applyProtection="1">
      <protection locked="0"/>
    </xf>
    <xf numFmtId="0" fontId="14" fillId="4" borderId="70" xfId="3" applyFont="1" applyFill="1" applyBorder="1" applyProtection="1">
      <protection locked="0"/>
    </xf>
    <xf numFmtId="0" fontId="14" fillId="4" borderId="10" xfId="3" applyFont="1" applyFill="1" applyBorder="1" applyProtection="1">
      <protection locked="0"/>
    </xf>
    <xf numFmtId="0" fontId="8" fillId="0" borderId="10" xfId="0" applyFont="1" applyBorder="1" applyProtection="1"/>
    <xf numFmtId="167" fontId="12" fillId="2" borderId="5" xfId="3" applyNumberFormat="1" applyFont="1" applyFill="1" applyBorder="1" applyAlignment="1" applyProtection="1">
      <alignment horizontal="center" wrapText="1"/>
    </xf>
    <xf numFmtId="171" fontId="14" fillId="0" borderId="0" xfId="2" applyNumberFormat="1" applyFont="1" applyFill="1" applyProtection="1">
      <protection locked="0"/>
    </xf>
    <xf numFmtId="0" fontId="14" fillId="0" borderId="16" xfId="3" applyFont="1" applyFill="1" applyBorder="1" applyProtection="1">
      <protection locked="0"/>
    </xf>
    <xf numFmtId="0" fontId="7" fillId="0" borderId="16" xfId="0" applyFont="1" applyBorder="1" applyProtection="1"/>
    <xf numFmtId="0" fontId="7" fillId="0" borderId="24" xfId="0" applyFont="1" applyBorder="1" applyAlignment="1" applyProtection="1">
      <alignment horizontal="center" wrapText="1"/>
    </xf>
    <xf numFmtId="0" fontId="7" fillId="0" borderId="8" xfId="0" applyFont="1" applyBorder="1" applyAlignment="1" applyProtection="1">
      <alignment horizontal="center"/>
    </xf>
    <xf numFmtId="10" fontId="7" fillId="0" borderId="8" xfId="2" applyNumberFormat="1" applyFont="1" applyBorder="1" applyAlignment="1" applyProtection="1">
      <alignment horizontal="center"/>
    </xf>
    <xf numFmtId="0" fontId="7" fillId="0" borderId="2" xfId="0" applyFont="1" applyBorder="1" applyAlignment="1" applyProtection="1">
      <alignment horizontal="center"/>
    </xf>
    <xf numFmtId="10" fontId="7" fillId="0" borderId="2" xfId="2" applyNumberFormat="1" applyFont="1" applyBorder="1" applyAlignment="1" applyProtection="1">
      <alignment horizontal="center"/>
    </xf>
    <xf numFmtId="0" fontId="7" fillId="0" borderId="24" xfId="0" applyFont="1" applyBorder="1" applyAlignment="1" applyProtection="1">
      <alignment horizontal="center"/>
    </xf>
    <xf numFmtId="0" fontId="7" fillId="0" borderId="19" xfId="0" applyFont="1" applyBorder="1" applyAlignment="1" applyProtection="1">
      <alignment horizontal="center"/>
    </xf>
    <xf numFmtId="10" fontId="7" fillId="0" borderId="24" xfId="2" applyNumberFormat="1" applyFont="1" applyBorder="1" applyAlignment="1" applyProtection="1">
      <alignment horizontal="center"/>
    </xf>
    <xf numFmtId="0" fontId="7" fillId="0" borderId="25" xfId="0" applyFont="1" applyBorder="1" applyAlignment="1" applyProtection="1">
      <alignment horizontal="center"/>
    </xf>
    <xf numFmtId="10" fontId="7" fillId="0" borderId="25" xfId="2" applyNumberFormat="1" applyFont="1" applyBorder="1" applyAlignment="1" applyProtection="1">
      <alignment horizontal="center"/>
    </xf>
    <xf numFmtId="44" fontId="9" fillId="4" borderId="12" xfId="0" applyNumberFormat="1" applyFont="1" applyFill="1" applyBorder="1" applyAlignment="1" applyProtection="1">
      <alignment horizontal="right"/>
    </xf>
    <xf numFmtId="0" fontId="0" fillId="0" borderId="10" xfId="0" applyBorder="1" applyProtection="1">
      <protection locked="0"/>
    </xf>
    <xf numFmtId="0" fontId="0" fillId="4" borderId="3" xfId="0" applyFont="1" applyFill="1" applyBorder="1" applyAlignment="1" applyProtection="1">
      <alignment horizontal="left"/>
    </xf>
    <xf numFmtId="0" fontId="0" fillId="3" borderId="3" xfId="0" applyFont="1" applyFill="1" applyBorder="1" applyProtection="1"/>
    <xf numFmtId="0" fontId="0" fillId="3" borderId="18" xfId="0" applyFont="1" applyFill="1" applyBorder="1" applyProtection="1"/>
    <xf numFmtId="0" fontId="14" fillId="0" borderId="6" xfId="3" applyFont="1" applyFill="1" applyBorder="1" applyProtection="1">
      <protection locked="0"/>
    </xf>
    <xf numFmtId="0" fontId="14" fillId="4" borderId="18" xfId="3" applyFont="1" applyFill="1" applyBorder="1" applyProtection="1">
      <protection locked="0"/>
    </xf>
    <xf numFmtId="0" fontId="10" fillId="2" borderId="10" xfId="3" applyFont="1" applyFill="1" applyBorder="1" applyAlignment="1" applyProtection="1">
      <alignment horizontal="right"/>
    </xf>
    <xf numFmtId="44" fontId="10" fillId="2" borderId="24" xfId="1" applyFont="1" applyFill="1" applyBorder="1" applyProtection="1"/>
    <xf numFmtId="0" fontId="11" fillId="2" borderId="3" xfId="3" applyFont="1" applyFill="1" applyBorder="1" applyAlignment="1" applyProtection="1">
      <alignment horizontal="left"/>
    </xf>
    <xf numFmtId="0" fontId="11" fillId="2" borderId="4" xfId="3" applyFont="1" applyFill="1" applyBorder="1" applyAlignment="1" applyProtection="1">
      <alignment horizontal="right"/>
    </xf>
    <xf numFmtId="0" fontId="10" fillId="2" borderId="20" xfId="3" applyFont="1" applyFill="1" applyBorder="1" applyAlignment="1" applyProtection="1">
      <alignment horizontal="left"/>
    </xf>
    <xf numFmtId="44" fontId="45" fillId="2" borderId="24" xfId="1" applyFont="1" applyFill="1" applyBorder="1" applyProtection="1"/>
    <xf numFmtId="0" fontId="7" fillId="4" borderId="7" xfId="3" applyFont="1" applyFill="1" applyBorder="1" applyProtection="1"/>
    <xf numFmtId="0" fontId="7" fillId="4" borderId="1" xfId="3" applyFont="1" applyFill="1" applyBorder="1" applyProtection="1"/>
    <xf numFmtId="10" fontId="7" fillId="4" borderId="8" xfId="1" applyNumberFormat="1" applyFont="1" applyFill="1" applyBorder="1" applyProtection="1"/>
    <xf numFmtId="0" fontId="7" fillId="4" borderId="27" xfId="3" applyFont="1" applyFill="1" applyBorder="1" applyProtection="1"/>
    <xf numFmtId="44" fontId="7" fillId="4" borderId="27" xfId="1" applyFont="1" applyFill="1" applyBorder="1" applyProtection="1"/>
    <xf numFmtId="44" fontId="24" fillId="4" borderId="27" xfId="1" applyFont="1" applyFill="1" applyBorder="1" applyProtection="1"/>
    <xf numFmtId="44" fontId="7" fillId="4" borderId="31" xfId="1" applyFont="1" applyFill="1" applyBorder="1" applyProtection="1"/>
    <xf numFmtId="0" fontId="10" fillId="2" borderId="3" xfId="0" applyFont="1" applyFill="1" applyBorder="1"/>
    <xf numFmtId="0" fontId="7" fillId="2" borderId="6" xfId="0" applyFont="1" applyFill="1" applyBorder="1"/>
    <xf numFmtId="0" fontId="11" fillId="2" borderId="5" xfId="0" applyFont="1" applyFill="1" applyBorder="1" applyAlignment="1">
      <alignment horizontal="right" vertical="center"/>
    </xf>
    <xf numFmtId="0" fontId="7" fillId="4" borderId="5" xfId="0" applyFont="1" applyFill="1" applyBorder="1" applyAlignment="1">
      <alignment horizontal="right" vertical="center"/>
    </xf>
    <xf numFmtId="0" fontId="11" fillId="4" borderId="5" xfId="0" applyFont="1" applyFill="1" applyBorder="1" applyAlignment="1">
      <alignment horizontal="right" vertical="center"/>
    </xf>
    <xf numFmtId="44" fontId="11" fillId="2" borderId="8" xfId="1" applyFont="1" applyFill="1" applyBorder="1" applyAlignment="1" applyProtection="1">
      <alignment horizontal="right" vertical="center"/>
    </xf>
    <xf numFmtId="0" fontId="7" fillId="4" borderId="8" xfId="0" applyFont="1" applyFill="1" applyBorder="1" applyAlignment="1">
      <alignment horizontal="right" vertical="center"/>
    </xf>
    <xf numFmtId="44" fontId="11" fillId="4" borderId="8" xfId="1" applyFont="1" applyFill="1" applyBorder="1" applyAlignment="1" applyProtection="1">
      <alignment horizontal="right" vertical="center"/>
    </xf>
    <xf numFmtId="0" fontId="10" fillId="2" borderId="6" xfId="0" applyFont="1" applyFill="1" applyBorder="1"/>
    <xf numFmtId="0" fontId="10" fillId="2" borderId="18" xfId="0" applyFont="1" applyFill="1" applyBorder="1"/>
    <xf numFmtId="0" fontId="7" fillId="2" borderId="11" xfId="0" applyFont="1" applyFill="1" applyBorder="1"/>
    <xf numFmtId="0" fontId="7" fillId="2" borderId="7" xfId="0" applyFont="1" applyFill="1" applyBorder="1"/>
    <xf numFmtId="0" fontId="7" fillId="2" borderId="17" xfId="0" applyFont="1" applyFill="1" applyBorder="1"/>
    <xf numFmtId="0" fontId="10" fillId="2" borderId="4" xfId="0" applyFont="1" applyFill="1" applyBorder="1"/>
    <xf numFmtId="0" fontId="10" fillId="2" borderId="0" xfId="0" applyFont="1" applyFill="1"/>
    <xf numFmtId="0" fontId="11" fillId="2" borderId="6" xfId="0" applyFont="1" applyFill="1" applyBorder="1"/>
    <xf numFmtId="0" fontId="11" fillId="2" borderId="0" xfId="0" applyFont="1" applyFill="1"/>
    <xf numFmtId="0" fontId="2" fillId="0" borderId="0" xfId="0" applyFont="1" applyFill="1" applyProtection="1">
      <protection locked="0"/>
    </xf>
    <xf numFmtId="0" fontId="0" fillId="4" borderId="0" xfId="0" applyFill="1" applyBorder="1" applyAlignment="1" applyProtection="1">
      <alignment horizontal="right"/>
    </xf>
    <xf numFmtId="0" fontId="0" fillId="4" borderId="0" xfId="0" applyFill="1" applyBorder="1" applyAlignment="1" applyProtection="1">
      <alignment horizontal="left"/>
    </xf>
    <xf numFmtId="0" fontId="2" fillId="4" borderId="6" xfId="0" applyFont="1" applyFill="1" applyBorder="1" applyProtection="1"/>
    <xf numFmtId="0" fontId="0" fillId="4" borderId="26" xfId="0" applyFill="1" applyBorder="1" applyProtection="1">
      <protection locked="0"/>
    </xf>
    <xf numFmtId="10" fontId="0" fillId="4" borderId="28" xfId="2" applyNumberFormat="1" applyFont="1" applyFill="1" applyBorder="1" applyProtection="1">
      <protection locked="0"/>
    </xf>
    <xf numFmtId="0" fontId="0" fillId="4" borderId="28" xfId="0" applyFill="1" applyBorder="1" applyProtection="1">
      <protection locked="0"/>
    </xf>
    <xf numFmtId="0" fontId="0" fillId="4" borderId="37" xfId="0" applyFill="1" applyBorder="1" applyProtection="1">
      <protection locked="0"/>
    </xf>
    <xf numFmtId="10" fontId="0" fillId="0" borderId="0" xfId="0" applyNumberFormat="1" applyFont="1" applyProtection="1">
      <protection locked="0"/>
    </xf>
    <xf numFmtId="169" fontId="0" fillId="0" borderId="0" xfId="0" applyNumberFormat="1" applyFont="1" applyProtection="1">
      <protection locked="0"/>
    </xf>
    <xf numFmtId="10" fontId="11" fillId="9" borderId="23" xfId="2" applyNumberFormat="1" applyFont="1" applyFill="1" applyBorder="1" applyAlignment="1" applyProtection="1">
      <alignment horizontal="center"/>
    </xf>
    <xf numFmtId="0" fontId="0" fillId="0" borderId="0" xfId="0" applyFont="1" applyAlignment="1" applyProtection="1">
      <alignment vertical="top"/>
      <protection locked="0"/>
    </xf>
    <xf numFmtId="0" fontId="0" fillId="4" borderId="6" xfId="0" applyFont="1" applyFill="1" applyBorder="1" applyAlignment="1" applyProtection="1">
      <alignment horizontal="left"/>
      <protection locked="0"/>
    </xf>
    <xf numFmtId="0" fontId="61" fillId="2" borderId="15" xfId="0" applyFont="1" applyFill="1" applyBorder="1" applyProtection="1"/>
    <xf numFmtId="1" fontId="2" fillId="4" borderId="0" xfId="0" applyNumberFormat="1" applyFont="1" applyFill="1" applyBorder="1" applyAlignment="1" applyProtection="1">
      <alignment horizontal="left"/>
      <protection locked="0"/>
    </xf>
    <xf numFmtId="2" fontId="19" fillId="0" borderId="0" xfId="0" applyNumberFormat="1" applyFont="1" applyAlignment="1" applyProtection="1">
      <alignment horizontal="right"/>
      <protection locked="0"/>
    </xf>
    <xf numFmtId="10" fontId="7" fillId="3" borderId="2" xfId="2" applyNumberFormat="1" applyFont="1" applyFill="1" applyBorder="1" applyAlignment="1" applyProtection="1">
      <alignment horizontal="center"/>
      <protection locked="0"/>
    </xf>
    <xf numFmtId="1" fontId="7" fillId="4" borderId="76" xfId="2" applyNumberFormat="1" applyFont="1" applyFill="1" applyBorder="1" applyAlignment="1" applyProtection="1">
      <alignment horizontal="center" vertical="center"/>
    </xf>
    <xf numFmtId="0" fontId="48" fillId="0" borderId="85" xfId="0" applyFont="1" applyBorder="1" applyAlignment="1" applyProtection="1">
      <alignment horizontal="center" vertical="center"/>
      <protection locked="0"/>
    </xf>
    <xf numFmtId="0" fontId="48" fillId="0" borderId="84" xfId="0" applyFont="1" applyBorder="1" applyAlignment="1" applyProtection="1">
      <alignment horizontal="center" vertical="center"/>
      <protection locked="0"/>
    </xf>
    <xf numFmtId="0" fontId="7" fillId="4" borderId="69" xfId="0" applyFont="1" applyFill="1" applyBorder="1" applyAlignment="1" applyProtection="1">
      <alignment vertical="center" wrapText="1"/>
    </xf>
    <xf numFmtId="169" fontId="7" fillId="3" borderId="2" xfId="1" applyNumberFormat="1" applyFont="1" applyFill="1" applyBorder="1" applyAlignment="1" applyProtection="1">
      <alignment horizontal="left"/>
      <protection locked="0"/>
    </xf>
    <xf numFmtId="0" fontId="11" fillId="4" borderId="69" xfId="0" applyFont="1" applyFill="1" applyBorder="1" applyAlignment="1" applyProtection="1">
      <alignment vertical="top" wrapText="1"/>
    </xf>
    <xf numFmtId="0" fontId="11" fillId="7" borderId="70" xfId="0" applyFont="1" applyFill="1" applyBorder="1" applyAlignment="1" applyProtection="1">
      <alignment horizontal="right"/>
    </xf>
    <xf numFmtId="0" fontId="7" fillId="7" borderId="62" xfId="0" applyFont="1" applyFill="1" applyBorder="1" applyAlignment="1" applyProtection="1">
      <alignment horizontal="right" vertical="center"/>
    </xf>
    <xf numFmtId="0" fontId="7" fillId="0" borderId="0" xfId="0" applyFont="1" applyProtection="1"/>
    <xf numFmtId="165" fontId="21" fillId="2" borderId="16" xfId="0" applyNumberFormat="1" applyFont="1" applyFill="1" applyBorder="1" applyAlignment="1" applyProtection="1">
      <alignment horizontal="right"/>
    </xf>
    <xf numFmtId="0" fontId="16" fillId="4" borderId="1" xfId="0" applyFont="1" applyFill="1" applyBorder="1" applyAlignment="1" applyProtection="1">
      <alignment horizontal="right"/>
    </xf>
    <xf numFmtId="44" fontId="7" fillId="0" borderId="2" xfId="1" applyFont="1" applyBorder="1" applyProtection="1"/>
    <xf numFmtId="0" fontId="16" fillId="4" borderId="15" xfId="0" applyFont="1" applyFill="1" applyBorder="1" applyAlignment="1" applyProtection="1">
      <alignment horizontal="right"/>
    </xf>
    <xf numFmtId="0" fontId="18" fillId="2" borderId="7" xfId="0" applyFont="1" applyFill="1" applyBorder="1" applyProtection="1"/>
    <xf numFmtId="0" fontId="16" fillId="2" borderId="1" xfId="0" applyFont="1" applyFill="1" applyBorder="1" applyAlignment="1" applyProtection="1">
      <alignment horizontal="right"/>
    </xf>
    <xf numFmtId="44" fontId="7" fillId="0" borderId="5" xfId="1" applyFont="1" applyBorder="1" applyProtection="1"/>
    <xf numFmtId="0" fontId="19" fillId="0" borderId="0" xfId="0" applyFont="1" applyAlignment="1">
      <alignment horizontal="left"/>
    </xf>
    <xf numFmtId="0" fontId="19" fillId="0" borderId="0" xfId="0" applyFont="1"/>
    <xf numFmtId="0" fontId="52" fillId="4" borderId="16" xfId="0" applyFont="1" applyFill="1" applyBorder="1" applyProtection="1"/>
    <xf numFmtId="166" fontId="7" fillId="0" borderId="2" xfId="1" applyNumberFormat="1" applyFont="1" applyFill="1" applyBorder="1" applyProtection="1"/>
    <xf numFmtId="0" fontId="7" fillId="4" borderId="7" xfId="0" applyFont="1" applyFill="1" applyBorder="1" applyAlignment="1" applyProtection="1">
      <alignment horizontal="right"/>
      <protection locked="0"/>
    </xf>
    <xf numFmtId="1" fontId="7" fillId="0" borderId="17" xfId="0" applyNumberFormat="1" applyFont="1" applyFill="1" applyBorder="1" applyAlignment="1" applyProtection="1">
      <alignment horizontal="center"/>
      <protection locked="0"/>
    </xf>
    <xf numFmtId="166" fontId="7" fillId="3" borderId="2" xfId="1" applyNumberFormat="1" applyFont="1" applyFill="1" applyBorder="1" applyProtection="1">
      <protection locked="0"/>
    </xf>
    <xf numFmtId="0" fontId="7" fillId="3" borderId="2" xfId="0" applyFont="1" applyFill="1" applyBorder="1" applyAlignment="1" applyProtection="1">
      <alignment horizontal="center"/>
      <protection locked="0"/>
    </xf>
    <xf numFmtId="166" fontId="11" fillId="0" borderId="2" xfId="1" applyNumberFormat="1" applyFont="1" applyFill="1" applyBorder="1" applyProtection="1"/>
    <xf numFmtId="0" fontId="7" fillId="4" borderId="2" xfId="0" applyFont="1" applyFill="1" applyBorder="1" applyProtection="1">
      <protection locked="0"/>
    </xf>
    <xf numFmtId="0" fontId="52" fillId="4" borderId="6" xfId="0" applyFont="1" applyFill="1" applyBorder="1" applyProtection="1">
      <protection locked="0"/>
    </xf>
    <xf numFmtId="0" fontId="52" fillId="4" borderId="0" xfId="0" applyFont="1" applyFill="1" applyBorder="1" applyProtection="1">
      <protection locked="0"/>
    </xf>
    <xf numFmtId="22" fontId="7" fillId="7" borderId="71" xfId="0" quotePrefix="1" applyNumberFormat="1" applyFont="1" applyFill="1" applyBorder="1" applyAlignment="1" applyProtection="1"/>
    <xf numFmtId="0" fontId="7" fillId="0" borderId="82" xfId="0" applyFont="1" applyBorder="1" applyProtection="1">
      <protection locked="0"/>
    </xf>
    <xf numFmtId="0" fontId="7" fillId="0" borderId="81" xfId="0" applyFont="1" applyBorder="1" applyProtection="1">
      <protection locked="0"/>
    </xf>
    <xf numFmtId="0" fontId="7" fillId="4" borderId="17" xfId="0" applyFont="1" applyFill="1" applyBorder="1" applyAlignment="1" applyProtection="1">
      <alignment vertical="center" wrapText="1"/>
    </xf>
    <xf numFmtId="170" fontId="11" fillId="4" borderId="81" xfId="1" applyNumberFormat="1" applyFont="1" applyFill="1" applyBorder="1" applyAlignment="1" applyProtection="1">
      <alignment horizontal="center" vertical="center"/>
    </xf>
    <xf numFmtId="0" fontId="7" fillId="4" borderId="31" xfId="0" applyFont="1" applyFill="1" applyBorder="1" applyAlignment="1" applyProtection="1">
      <alignment vertical="center" wrapText="1"/>
    </xf>
    <xf numFmtId="0" fontId="11" fillId="6" borderId="2" xfId="0" applyFont="1" applyFill="1" applyBorder="1" applyAlignment="1" applyProtection="1">
      <alignment wrapText="1"/>
    </xf>
    <xf numFmtId="0" fontId="7" fillId="4" borderId="2" xfId="0" applyFont="1" applyFill="1" applyBorder="1" applyAlignment="1" applyProtection="1">
      <alignment horizontal="left"/>
    </xf>
    <xf numFmtId="10" fontId="7" fillId="4" borderId="2" xfId="2" applyNumberFormat="1" applyFont="1" applyFill="1" applyBorder="1" applyAlignment="1" applyProtection="1">
      <alignment horizontal="center"/>
    </xf>
    <xf numFmtId="10" fontId="7" fillId="0" borderId="2" xfId="2" applyNumberFormat="1" applyFont="1" applyFill="1" applyBorder="1" applyAlignment="1" applyProtection="1">
      <alignment horizontal="center"/>
    </xf>
    <xf numFmtId="0" fontId="7" fillId="7" borderId="0" xfId="0" applyFont="1" applyFill="1" applyBorder="1" applyProtection="1"/>
    <xf numFmtId="0" fontId="7" fillId="7" borderId="6" xfId="0" applyFont="1" applyFill="1" applyBorder="1" applyProtection="1"/>
    <xf numFmtId="10" fontId="7" fillId="7" borderId="0" xfId="2" applyNumberFormat="1" applyFont="1" applyFill="1" applyBorder="1" applyProtection="1"/>
    <xf numFmtId="0" fontId="7" fillId="7" borderId="11" xfId="0" applyFont="1" applyFill="1" applyBorder="1" applyProtection="1"/>
    <xf numFmtId="0" fontId="7" fillId="7" borderId="20" xfId="0" applyFont="1" applyFill="1" applyBorder="1" applyProtection="1"/>
    <xf numFmtId="10" fontId="7" fillId="7" borderId="10" xfId="2" applyNumberFormat="1" applyFont="1" applyFill="1" applyBorder="1" applyProtection="1"/>
    <xf numFmtId="0" fontId="7" fillId="7" borderId="42" xfId="0" applyFont="1" applyFill="1" applyBorder="1" applyProtection="1"/>
    <xf numFmtId="0" fontId="7" fillId="7" borderId="61" xfId="0" applyFont="1" applyFill="1" applyBorder="1" applyAlignment="1" applyProtection="1">
      <alignment horizontal="right" vertical="center"/>
    </xf>
    <xf numFmtId="0" fontId="7" fillId="7" borderId="10" xfId="0" quotePrefix="1" applyFont="1" applyFill="1" applyBorder="1" applyProtection="1"/>
    <xf numFmtId="0" fontId="7" fillId="7" borderId="26" xfId="0" applyFont="1" applyFill="1" applyBorder="1" applyAlignment="1" applyProtection="1">
      <alignment horizontal="left" vertical="top" wrapText="1"/>
    </xf>
    <xf numFmtId="0" fontId="7" fillId="0" borderId="28" xfId="0" applyFont="1" applyBorder="1" applyAlignment="1" applyProtection="1">
      <alignment vertical="top"/>
    </xf>
    <xf numFmtId="0" fontId="7" fillId="0" borderId="37" xfId="0" applyFont="1" applyBorder="1" applyAlignment="1" applyProtection="1">
      <alignment vertical="top"/>
    </xf>
    <xf numFmtId="44" fontId="10" fillId="4" borderId="2" xfId="0" applyNumberFormat="1" applyFont="1" applyFill="1" applyBorder="1" applyAlignment="1">
      <alignment horizontal="right" vertical="center"/>
    </xf>
    <xf numFmtId="0" fontId="7" fillId="0" borderId="80" xfId="0" applyFont="1" applyBorder="1" applyAlignment="1">
      <alignment horizontal="right" vertical="center"/>
    </xf>
    <xf numFmtId="44" fontId="10" fillId="2" borderId="2" xfId="0" applyNumberFormat="1" applyFont="1" applyFill="1" applyBorder="1" applyAlignment="1">
      <alignment horizontal="right" vertical="center"/>
    </xf>
    <xf numFmtId="0" fontId="7" fillId="2" borderId="80" xfId="0" applyFont="1" applyFill="1" applyBorder="1" applyAlignment="1">
      <alignment horizontal="right" vertical="center"/>
    </xf>
    <xf numFmtId="44" fontId="9" fillId="4" borderId="2" xfId="0" applyNumberFormat="1" applyFont="1" applyFill="1" applyBorder="1" applyAlignment="1">
      <alignment horizontal="right" vertical="center"/>
    </xf>
    <xf numFmtId="44" fontId="10" fillId="4" borderId="51" xfId="0" applyNumberFormat="1" applyFont="1" applyFill="1" applyBorder="1" applyAlignment="1" applyProtection="1">
      <alignment horizontal="right" vertical="center"/>
    </xf>
    <xf numFmtId="0" fontId="7" fillId="0" borderId="53" xfId="0" applyFont="1" applyBorder="1" applyAlignment="1" applyProtection="1">
      <alignment horizontal="right" vertical="center"/>
    </xf>
    <xf numFmtId="44" fontId="10" fillId="2" borderId="52" xfId="0" applyNumberFormat="1" applyFont="1" applyFill="1" applyBorder="1" applyAlignment="1" applyProtection="1">
      <alignment horizontal="right" vertical="center"/>
    </xf>
    <xf numFmtId="0" fontId="11" fillId="2" borderId="54" xfId="0" applyFont="1" applyFill="1" applyBorder="1" applyAlignment="1" applyProtection="1">
      <alignment horizontal="right" vertical="center"/>
    </xf>
    <xf numFmtId="44" fontId="10" fillId="2" borderId="47" xfId="0" applyNumberFormat="1" applyFont="1" applyFill="1" applyBorder="1" applyAlignment="1" applyProtection="1">
      <alignment horizontal="right" vertical="center"/>
    </xf>
    <xf numFmtId="0" fontId="7" fillId="2" borderId="49" xfId="0" applyFont="1" applyFill="1" applyBorder="1" applyAlignment="1" applyProtection="1">
      <alignment horizontal="right" vertical="center"/>
    </xf>
    <xf numFmtId="44" fontId="10" fillId="4" borderId="47" xfId="0" applyNumberFormat="1" applyFont="1" applyFill="1" applyBorder="1" applyAlignment="1" applyProtection="1">
      <alignment horizontal="right" vertical="center"/>
    </xf>
    <xf numFmtId="0" fontId="7" fillId="0" borderId="49" xfId="0" applyFont="1" applyBorder="1" applyAlignment="1" applyProtection="1">
      <alignment horizontal="right" vertical="center"/>
    </xf>
    <xf numFmtId="44" fontId="9" fillId="4" borderId="48" xfId="0" applyNumberFormat="1" applyFont="1" applyFill="1" applyBorder="1" applyAlignment="1" applyProtection="1">
      <alignment horizontal="right" vertical="center"/>
    </xf>
    <xf numFmtId="0" fontId="7" fillId="0" borderId="50" xfId="0" applyFont="1" applyBorder="1" applyAlignment="1" applyProtection="1">
      <alignment horizontal="right" vertical="center"/>
    </xf>
    <xf numFmtId="44" fontId="10" fillId="2" borderId="13" xfId="0" applyNumberFormat="1" applyFont="1" applyFill="1" applyBorder="1" applyAlignment="1">
      <alignment horizontal="right" vertical="center"/>
    </xf>
    <xf numFmtId="0" fontId="7" fillId="2" borderId="79" xfId="0" applyFont="1" applyFill="1" applyBorder="1" applyAlignment="1">
      <alignment horizontal="right" vertical="center"/>
    </xf>
    <xf numFmtId="44" fontId="10" fillId="4" borderId="13" xfId="0" applyNumberFormat="1" applyFont="1" applyFill="1" applyBorder="1" applyAlignment="1">
      <alignment horizontal="right" vertical="center"/>
    </xf>
    <xf numFmtId="0" fontId="7" fillId="4" borderId="79" xfId="0" applyFont="1" applyFill="1" applyBorder="1" applyAlignment="1">
      <alignment horizontal="right" vertical="center"/>
    </xf>
    <xf numFmtId="44" fontId="9" fillId="4" borderId="13" xfId="0" applyNumberFormat="1" applyFont="1" applyFill="1" applyBorder="1" applyAlignment="1">
      <alignment horizontal="right" vertical="center"/>
    </xf>
    <xf numFmtId="0" fontId="7" fillId="7" borderId="26" xfId="0" applyFont="1" applyFill="1" applyBorder="1" applyAlignment="1" applyProtection="1">
      <alignment wrapText="1"/>
    </xf>
    <xf numFmtId="0" fontId="7" fillId="7" borderId="28" xfId="0" applyFont="1" applyFill="1" applyBorder="1" applyAlignment="1" applyProtection="1"/>
    <xf numFmtId="0" fontId="7" fillId="7" borderId="37" xfId="0" applyFont="1" applyFill="1" applyBorder="1" applyAlignment="1" applyProtection="1"/>
    <xf numFmtId="0" fontId="18" fillId="2" borderId="32" xfId="0" applyFont="1" applyFill="1" applyBorder="1" applyAlignment="1" applyProtection="1">
      <alignment wrapText="1"/>
    </xf>
    <xf numFmtId="0" fontId="11" fillId="0" borderId="29" xfId="0" applyFont="1" applyBorder="1" applyAlignment="1" applyProtection="1"/>
    <xf numFmtId="0" fontId="11" fillId="0" borderId="57" xfId="0" applyFont="1" applyBorder="1" applyAlignment="1" applyProtection="1"/>
    <xf numFmtId="0" fontId="33" fillId="4" borderId="36" xfId="0" applyFont="1" applyFill="1" applyBorder="1" applyAlignment="1" applyProtection="1">
      <alignment wrapText="1"/>
    </xf>
    <xf numFmtId="0" fontId="7" fillId="0" borderId="27" xfId="0" applyFont="1" applyBorder="1" applyAlignment="1" applyProtection="1"/>
    <xf numFmtId="0" fontId="7" fillId="0" borderId="31" xfId="0" applyFont="1" applyBorder="1" applyAlignment="1" applyProtection="1"/>
    <xf numFmtId="0" fontId="7" fillId="7" borderId="26" xfId="0" applyFont="1" applyFill="1" applyBorder="1" applyAlignment="1" applyProtection="1">
      <alignment vertical="top" wrapText="1"/>
    </xf>
    <xf numFmtId="0" fontId="48" fillId="3" borderId="34" xfId="0" applyFont="1" applyFill="1" applyBorder="1" applyAlignment="1" applyProtection="1">
      <alignment horizontal="center" vertical="center"/>
      <protection locked="0"/>
    </xf>
    <xf numFmtId="0" fontId="0" fillId="0" borderId="35" xfId="0" applyBorder="1" applyAlignment="1" applyProtection="1">
      <alignment horizontal="center" vertical="center"/>
      <protection locked="0"/>
    </xf>
    <xf numFmtId="169" fontId="4" fillId="0" borderId="76" xfId="0" applyNumberFormat="1" applyFont="1" applyFill="1" applyBorder="1" applyAlignment="1" applyProtection="1">
      <alignment horizontal="center" vertical="center"/>
      <protection locked="0"/>
    </xf>
    <xf numFmtId="169" fontId="4" fillId="0" borderId="75" xfId="0" applyNumberFormat="1" applyFont="1" applyFill="1" applyBorder="1" applyAlignment="1" applyProtection="1">
      <alignment horizontal="center" vertical="center"/>
      <protection locked="0"/>
    </xf>
    <xf numFmtId="22" fontId="11" fillId="0" borderId="69" xfId="0" quotePrefix="1" applyNumberFormat="1" applyFont="1" applyFill="1" applyBorder="1" applyAlignment="1" applyProtection="1"/>
    <xf numFmtId="0" fontId="11" fillId="0" borderId="59" xfId="0" applyFont="1" applyFill="1" applyBorder="1" applyAlignment="1" applyProtection="1"/>
    <xf numFmtId="0" fontId="11" fillId="0" borderId="69" xfId="0" applyFont="1" applyFill="1" applyBorder="1" applyAlignment="1" applyProtection="1">
      <alignment wrapText="1"/>
    </xf>
    <xf numFmtId="0" fontId="7" fillId="0" borderId="35" xfId="0" applyFont="1" applyBorder="1" applyAlignment="1" applyProtection="1">
      <alignment horizontal="center" vertical="center"/>
      <protection locked="0"/>
    </xf>
    <xf numFmtId="169" fontId="10" fillId="0" borderId="76" xfId="0" applyNumberFormat="1" applyFont="1" applyFill="1" applyBorder="1" applyAlignment="1" applyProtection="1">
      <alignment horizontal="center" vertical="center"/>
      <protection locked="0"/>
    </xf>
    <xf numFmtId="169" fontId="10" fillId="0" borderId="75" xfId="0" applyNumberFormat="1"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3" xfId="0" applyFont="1" applyBorder="1" applyAlignment="1" applyProtection="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22" fontId="11" fillId="0" borderId="69" xfId="0" quotePrefix="1" applyNumberFormat="1" applyFont="1" applyFill="1" applyBorder="1" applyAlignment="1" applyProtection="1">
      <alignment wrapText="1"/>
    </xf>
    <xf numFmtId="0" fontId="22" fillId="4" borderId="76" xfId="0" applyFont="1" applyFill="1" applyBorder="1" applyAlignment="1" applyProtection="1">
      <alignment vertical="center"/>
    </xf>
    <xf numFmtId="0" fontId="0" fillId="0" borderId="75" xfId="0" applyBorder="1" applyAlignment="1" applyProtection="1">
      <alignment vertical="center"/>
    </xf>
    <xf numFmtId="0" fontId="7" fillId="0" borderId="28" xfId="0" applyFont="1" applyBorder="1" applyAlignment="1" applyProtection="1"/>
    <xf numFmtId="0" fontId="7" fillId="0" borderId="37" xfId="0" applyFont="1" applyBorder="1" applyAlignment="1" applyProtection="1"/>
    <xf numFmtId="0" fontId="3" fillId="4" borderId="69" xfId="0" applyFont="1" applyFill="1" applyBorder="1" applyAlignment="1" applyProtection="1">
      <alignment vertical="center" wrapText="1"/>
    </xf>
    <xf numFmtId="0" fontId="3" fillId="0" borderId="72" xfId="0" applyFont="1" applyBorder="1" applyAlignment="1" applyProtection="1">
      <alignment vertical="center" wrapText="1"/>
    </xf>
    <xf numFmtId="0" fontId="3" fillId="0" borderId="70" xfId="0" applyFont="1" applyBorder="1" applyAlignment="1" applyProtection="1">
      <alignment vertical="center" wrapText="1"/>
    </xf>
    <xf numFmtId="0" fontId="3" fillId="0" borderId="42" xfId="0" applyFont="1" applyBorder="1" applyAlignment="1" applyProtection="1">
      <alignment vertical="center" wrapText="1"/>
    </xf>
    <xf numFmtId="0" fontId="11" fillId="7" borderId="26" xfId="0" applyFont="1" applyFill="1" applyBorder="1" applyAlignment="1" applyProtection="1">
      <alignment vertical="top" wrapText="1"/>
    </xf>
    <xf numFmtId="0" fontId="11" fillId="0" borderId="69" xfId="0" applyFont="1" applyFill="1" applyBorder="1" applyAlignment="1" applyProtection="1">
      <alignment horizontal="center" vertical="center"/>
    </xf>
    <xf numFmtId="0" fontId="11" fillId="0" borderId="71" xfId="0" applyFont="1" applyFill="1" applyBorder="1" applyAlignment="1" applyProtection="1">
      <alignment horizontal="center" vertical="center"/>
    </xf>
    <xf numFmtId="0" fontId="7" fillId="0" borderId="71" xfId="0" applyFont="1" applyFill="1" applyBorder="1" applyAlignment="1" applyProtection="1">
      <alignment horizontal="center" vertical="center"/>
    </xf>
    <xf numFmtId="0" fontId="7" fillId="0" borderId="70" xfId="0" applyFont="1" applyBorder="1" applyAlignment="1" applyProtection="1">
      <alignment horizontal="center" vertical="center"/>
    </xf>
    <xf numFmtId="0" fontId="48" fillId="4" borderId="34"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protection locked="0"/>
    </xf>
    <xf numFmtId="0" fontId="11" fillId="0" borderId="69" xfId="0" quotePrefix="1" applyFont="1" applyFill="1" applyBorder="1" applyAlignment="1" applyProtection="1">
      <alignment wrapText="1"/>
    </xf>
    <xf numFmtId="0" fontId="11" fillId="4" borderId="76" xfId="0" applyFont="1" applyFill="1" applyBorder="1" applyAlignment="1" applyProtection="1">
      <alignment vertical="center" wrapText="1"/>
    </xf>
    <xf numFmtId="0" fontId="7" fillId="0" borderId="75" xfId="0" applyFont="1" applyBorder="1" applyAlignment="1" applyProtection="1">
      <alignment vertical="center"/>
    </xf>
    <xf numFmtId="0" fontId="22" fillId="7" borderId="36" xfId="0" applyFont="1" applyFill="1" applyBorder="1" applyAlignment="1" applyProtection="1">
      <alignment wrapText="1"/>
    </xf>
    <xf numFmtId="0" fontId="0" fillId="7" borderId="31" xfId="0" applyFill="1" applyBorder="1" applyAlignment="1" applyProtection="1"/>
    <xf numFmtId="0" fontId="11" fillId="7" borderId="26" xfId="0" applyFont="1" applyFill="1" applyBorder="1" applyAlignment="1" applyProtection="1">
      <alignment wrapText="1"/>
    </xf>
    <xf numFmtId="0" fontId="11" fillId="0" borderId="69" xfId="0" quotePrefix="1" applyFont="1" applyFill="1" applyBorder="1" applyAlignment="1" applyProtection="1">
      <alignment horizontal="left" vertical="center" wrapText="1"/>
    </xf>
    <xf numFmtId="0" fontId="7" fillId="0" borderId="9" xfId="0" applyFont="1" applyBorder="1" applyAlignment="1" applyProtection="1">
      <alignment horizontal="left" wrapText="1"/>
    </xf>
    <xf numFmtId="0" fontId="7" fillId="0" borderId="59" xfId="0" applyFont="1" applyBorder="1" applyAlignment="1" applyProtection="1">
      <alignment horizontal="left" wrapText="1"/>
    </xf>
    <xf numFmtId="0" fontId="14" fillId="4" borderId="69" xfId="3" applyFont="1" applyFill="1" applyBorder="1" applyAlignment="1" applyProtection="1">
      <alignment vertical="top" wrapText="1"/>
      <protection locked="0"/>
    </xf>
    <xf numFmtId="0" fontId="7" fillId="0" borderId="9" xfId="0" applyFont="1" applyBorder="1" applyAlignment="1">
      <alignment vertical="top"/>
    </xf>
    <xf numFmtId="0" fontId="7" fillId="0" borderId="59" xfId="0" applyFont="1" applyBorder="1" applyAlignment="1">
      <alignment vertical="top"/>
    </xf>
    <xf numFmtId="0" fontId="7" fillId="0" borderId="70" xfId="0" applyFont="1" applyBorder="1" applyAlignment="1">
      <alignment vertical="top"/>
    </xf>
    <xf numFmtId="0" fontId="7" fillId="0" borderId="10" xfId="0" applyFont="1" applyBorder="1" applyAlignment="1">
      <alignment vertical="top"/>
    </xf>
    <xf numFmtId="0" fontId="7" fillId="0" borderId="62" xfId="0" applyFont="1" applyBorder="1" applyAlignment="1">
      <alignment vertical="top"/>
    </xf>
    <xf numFmtId="0" fontId="14" fillId="7" borderId="3" xfId="3" applyFont="1" applyFill="1" applyBorder="1" applyAlignment="1" applyProtection="1">
      <alignment vertical="top" wrapText="1"/>
    </xf>
    <xf numFmtId="0" fontId="14" fillId="0" borderId="4" xfId="0" applyFont="1" applyBorder="1" applyAlignment="1">
      <alignment vertical="top"/>
    </xf>
    <xf numFmtId="0" fontId="14" fillId="0" borderId="18" xfId="0" applyFont="1" applyBorder="1" applyAlignment="1">
      <alignment vertical="top"/>
    </xf>
    <xf numFmtId="0" fontId="14" fillId="0" borderId="7" xfId="0" applyFont="1" applyBorder="1" applyAlignment="1">
      <alignment vertical="top"/>
    </xf>
    <xf numFmtId="0" fontId="14" fillId="0" borderId="1" xfId="0" applyFont="1" applyBorder="1" applyAlignment="1">
      <alignment vertical="top"/>
    </xf>
    <xf numFmtId="0" fontId="14" fillId="0" borderId="17" xfId="0" applyFont="1" applyBorder="1" applyAlignment="1">
      <alignment vertical="top"/>
    </xf>
    <xf numFmtId="0" fontId="0" fillId="0" borderId="37" xfId="0" applyBorder="1" applyAlignment="1">
      <alignment vertical="top"/>
    </xf>
    <xf numFmtId="49" fontId="47" fillId="7" borderId="6" xfId="3" applyNumberFormat="1" applyFont="1" applyFill="1" applyBorder="1" applyAlignment="1" applyProtection="1">
      <alignment horizontal="left" wrapText="1"/>
    </xf>
    <xf numFmtId="0" fontId="7" fillId="0" borderId="11" xfId="0" applyFont="1" applyBorder="1" applyAlignment="1" applyProtection="1"/>
    <xf numFmtId="0" fontId="3" fillId="2" borderId="14" xfId="0" applyFont="1" applyFill="1" applyBorder="1" applyAlignment="1" applyProtection="1">
      <alignment vertical="top" wrapText="1"/>
    </xf>
    <xf numFmtId="0" fontId="0" fillId="0" borderId="15" xfId="0" applyBorder="1" applyAlignment="1" applyProtection="1">
      <alignment vertical="top"/>
    </xf>
    <xf numFmtId="0" fontId="0" fillId="0" borderId="16" xfId="0" applyBorder="1" applyAlignment="1" applyProtection="1">
      <alignment vertical="top"/>
    </xf>
    <xf numFmtId="0" fontId="7" fillId="7" borderId="70" xfId="0" applyFont="1" applyFill="1" applyBorder="1" applyAlignment="1" applyProtection="1">
      <alignment horizontal="right" vertical="center" wrapText="1"/>
    </xf>
    <xf numFmtId="0" fontId="7" fillId="0" borderId="10" xfId="0" applyFont="1" applyBorder="1" applyAlignment="1" applyProtection="1"/>
    <xf numFmtId="0" fontId="7" fillId="0" borderId="62" xfId="0" applyFont="1" applyBorder="1" applyAlignment="1" applyProtection="1"/>
    <xf numFmtId="0" fontId="7" fillId="4" borderId="69" xfId="0" applyFont="1" applyFill="1" applyBorder="1" applyAlignment="1" applyProtection="1">
      <alignment vertical="center" wrapText="1"/>
    </xf>
    <xf numFmtId="0" fontId="7" fillId="0" borderId="70" xfId="0" applyFont="1" applyBorder="1" applyAlignment="1">
      <alignment vertical="center" wrapText="1"/>
    </xf>
    <xf numFmtId="170" fontId="11" fillId="4" borderId="76" xfId="1" applyNumberFormat="1" applyFont="1" applyFill="1" applyBorder="1" applyAlignment="1" applyProtection="1">
      <alignment horizontal="center" vertical="center"/>
    </xf>
    <xf numFmtId="0" fontId="7" fillId="4" borderId="75" xfId="0" applyFont="1" applyFill="1" applyBorder="1" applyAlignment="1">
      <alignment horizontal="center" vertical="center"/>
    </xf>
    <xf numFmtId="0" fontId="7" fillId="0" borderId="83" xfId="0" applyFont="1" applyBorder="1" applyAlignment="1" applyProtection="1">
      <alignment horizontal="center" vertical="center"/>
      <protection locked="0"/>
    </xf>
    <xf numFmtId="0" fontId="11" fillId="7" borderId="86" xfId="0" applyFont="1" applyFill="1" applyBorder="1" applyAlignment="1" applyProtection="1">
      <alignment horizontal="right" vertical="center" wrapText="1"/>
    </xf>
    <xf numFmtId="0" fontId="7" fillId="0" borderId="87" xfId="0" applyFont="1" applyBorder="1" applyAlignment="1">
      <alignment horizontal="right" wrapText="1"/>
    </xf>
    <xf numFmtId="0" fontId="7" fillId="0" borderId="88" xfId="0" applyFont="1" applyBorder="1" applyAlignment="1">
      <alignment horizontal="right" wrapText="1"/>
    </xf>
    <xf numFmtId="0" fontId="11" fillId="7" borderId="70" xfId="0" applyFont="1" applyFill="1" applyBorder="1" applyAlignment="1" applyProtection="1">
      <alignment horizontal="right" vertical="center" wrapText="1"/>
    </xf>
    <xf numFmtId="0" fontId="7" fillId="0" borderId="10" xfId="0" applyFont="1" applyBorder="1" applyAlignment="1">
      <alignment horizontal="right" wrapText="1"/>
    </xf>
    <xf numFmtId="0" fontId="7" fillId="0" borderId="62" xfId="0" applyFont="1" applyBorder="1" applyAlignment="1">
      <alignment horizontal="right" wrapText="1"/>
    </xf>
    <xf numFmtId="44" fontId="10" fillId="2" borderId="51" xfId="0" applyNumberFormat="1" applyFont="1" applyFill="1" applyBorder="1" applyAlignment="1" applyProtection="1">
      <alignment horizontal="right" vertical="center"/>
    </xf>
    <xf numFmtId="0" fontId="7" fillId="2" borderId="53" xfId="0" applyFont="1" applyFill="1" applyBorder="1" applyAlignment="1" applyProtection="1">
      <alignment horizontal="right" vertical="center"/>
    </xf>
    <xf numFmtId="0" fontId="7" fillId="2" borderId="14" xfId="0" applyFont="1" applyFill="1" applyBorder="1" applyAlignment="1" applyProtection="1">
      <alignment wrapText="1"/>
    </xf>
    <xf numFmtId="0" fontId="7" fillId="0" borderId="16" xfId="0" applyFont="1" applyBorder="1" applyAlignment="1" applyProtection="1">
      <alignment wrapText="1"/>
    </xf>
    <xf numFmtId="0" fontId="7" fillId="7" borderId="20" xfId="0" applyFont="1" applyFill="1" applyBorder="1" applyAlignment="1" applyProtection="1">
      <alignment horizontal="left" vertical="top" wrapText="1"/>
    </xf>
    <xf numFmtId="0" fontId="7" fillId="7" borderId="10" xfId="0" applyFont="1" applyFill="1" applyBorder="1" applyAlignment="1" applyProtection="1">
      <alignment horizontal="left" vertical="top" wrapText="1"/>
    </xf>
    <xf numFmtId="0" fontId="7" fillId="7" borderId="10" xfId="0" applyFont="1" applyFill="1" applyBorder="1" applyAlignment="1" applyProtection="1">
      <alignment vertical="top"/>
    </xf>
    <xf numFmtId="0" fontId="7" fillId="7" borderId="42" xfId="0" applyFont="1" applyFill="1" applyBorder="1" applyAlignment="1" applyProtection="1">
      <alignment vertical="top"/>
    </xf>
    <xf numFmtId="0" fontId="7" fillId="4" borderId="80" xfId="0" applyFont="1" applyFill="1" applyBorder="1" applyAlignment="1">
      <alignment horizontal="right" vertical="center"/>
    </xf>
    <xf numFmtId="0" fontId="7" fillId="4" borderId="13" xfId="0" applyFont="1" applyFill="1" applyBorder="1" applyAlignment="1">
      <alignment horizontal="right" vertical="center"/>
    </xf>
    <xf numFmtId="0" fontId="48" fillId="3" borderId="76" xfId="0" applyFont="1" applyFill="1" applyBorder="1" applyAlignment="1" applyProtection="1">
      <alignment horizontal="center" vertical="center"/>
      <protection locked="0"/>
    </xf>
    <xf numFmtId="0" fontId="50" fillId="3" borderId="75" xfId="0" applyFont="1" applyFill="1" applyBorder="1" applyAlignment="1" applyProtection="1">
      <alignment horizontal="center" vertical="center"/>
      <protection locked="0"/>
    </xf>
    <xf numFmtId="0" fontId="10" fillId="0" borderId="14" xfId="0" applyFont="1" applyFill="1" applyBorder="1" applyAlignment="1" applyProtection="1">
      <protection locked="0"/>
    </xf>
    <xf numFmtId="0" fontId="7" fillId="0" borderId="16" xfId="0" applyFont="1" applyBorder="1" applyAlignment="1" applyProtection="1">
      <protection locked="0"/>
    </xf>
    <xf numFmtId="0" fontId="10" fillId="0" borderId="22" xfId="0" applyFont="1" applyFill="1" applyBorder="1" applyAlignment="1" applyProtection="1">
      <protection locked="0"/>
    </xf>
    <xf numFmtId="0" fontId="7" fillId="0" borderId="38" xfId="0" applyFont="1" applyBorder="1" applyAlignment="1" applyProtection="1">
      <protection locked="0"/>
    </xf>
    <xf numFmtId="0" fontId="7" fillId="2" borderId="22" xfId="0" applyFont="1" applyFill="1" applyBorder="1" applyAlignment="1" applyProtection="1">
      <alignment wrapText="1"/>
    </xf>
    <xf numFmtId="0" fontId="7" fillId="0" borderId="38" xfId="0" applyFont="1" applyBorder="1" applyAlignment="1" applyProtection="1">
      <alignment wrapText="1"/>
    </xf>
  </cellXfs>
  <cellStyles count="6">
    <cellStyle name="Euro" xfId="5" xr:uid="{00000000-0005-0000-0000-000000000000}"/>
    <cellStyle name="Prozent" xfId="2" builtinId="5"/>
    <cellStyle name="Prozent 2" xfId="4" xr:uid="{00000000-0005-0000-0000-000002000000}"/>
    <cellStyle name="Standard" xfId="0" builtinId="0"/>
    <cellStyle name="Standard 2" xfId="3" xr:uid="{00000000-0005-0000-0000-000004000000}"/>
    <cellStyle name="Währung" xfId="1" builtinId="4"/>
  </cellStyles>
  <dxfs count="143">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FF99"/>
        </patternFill>
      </fill>
    </dxf>
    <dxf>
      <fill>
        <patternFill>
          <bgColor rgb="FFFFFF99"/>
        </patternFill>
      </fill>
    </dxf>
    <dxf>
      <font>
        <color theme="0"/>
      </font>
    </dxf>
    <dxf>
      <fill>
        <patternFill>
          <bgColor rgb="FFFFFF99"/>
        </patternFill>
      </fill>
    </dxf>
    <dxf>
      <fill>
        <patternFill>
          <bgColor rgb="FFFFFF99"/>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patternFill>
      </fill>
    </dxf>
    <dxf>
      <fill>
        <patternFill>
          <bgColor theme="0"/>
        </patternFill>
      </fill>
    </dxf>
    <dxf>
      <fill>
        <patternFill>
          <bgColor rgb="FFFF0000"/>
        </patternFill>
      </fill>
    </dxf>
    <dxf>
      <fill>
        <patternFill>
          <bgColor rgb="FFFFFF99"/>
        </patternFill>
      </fill>
    </dxf>
    <dxf>
      <fill>
        <patternFill>
          <bgColor rgb="FFFF0000"/>
        </patternFill>
      </fill>
    </dxf>
    <dxf>
      <fill>
        <patternFill>
          <bgColor theme="0"/>
        </patternFill>
      </fill>
    </dxf>
    <dxf>
      <fill>
        <patternFill>
          <bgColor rgb="FFFFFF99"/>
        </patternFill>
      </fill>
    </dxf>
    <dxf>
      <fill>
        <patternFill>
          <bgColor rgb="FFFF0000"/>
        </patternFill>
      </fill>
    </dxf>
    <dxf>
      <fill>
        <patternFill>
          <bgColor rgb="FFFF0000"/>
        </patternFill>
      </fill>
    </dxf>
    <dxf>
      <font>
        <color theme="0" tint="-0.499984740745262"/>
      </font>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theme="0"/>
        </patternFill>
      </fill>
    </dxf>
    <dxf>
      <fill>
        <patternFill>
          <bgColor rgb="FFFF0000"/>
        </patternFill>
      </fill>
    </dxf>
    <dxf>
      <fill>
        <patternFill>
          <bgColor rgb="FFFFFF99"/>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FF99"/>
        </patternFill>
      </fill>
    </dxf>
    <dxf>
      <font>
        <color theme="0"/>
      </font>
    </dxf>
    <dxf>
      <font>
        <color theme="0" tint="-0.14996795556505021"/>
      </font>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ont>
        <color theme="0"/>
      </font>
    </dxf>
  </dxfs>
  <tableStyles count="0" defaultTableStyle="TableStyleMedium2" defaultPivotStyle="PivotStyleLight16"/>
  <colors>
    <mruColors>
      <color rgb="FFFFFF99"/>
      <color rgb="FFDAE7F6"/>
      <color rgb="FFFF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12</xdr:row>
      <xdr:rowOff>114299</xdr:rowOff>
    </xdr:from>
    <xdr:ext cx="5791200" cy="5594351"/>
    <xdr:sp macro="" textlink="">
      <xdr:nvSpPr>
        <xdr:cNvPr id="2" name="Textfeld 1">
          <a:extLst>
            <a:ext uri="{FF2B5EF4-FFF2-40B4-BE49-F238E27FC236}">
              <a16:creationId xmlns:a16="http://schemas.microsoft.com/office/drawing/2014/main" id="{FADFCC76-F98A-42AE-A5E4-C85B5D37D222}"/>
            </a:ext>
          </a:extLst>
        </xdr:cNvPr>
        <xdr:cNvSpPr txBox="1"/>
      </xdr:nvSpPr>
      <xdr:spPr>
        <a:xfrm>
          <a:off x="66675" y="2762249"/>
          <a:ext cx="5791200" cy="5594351"/>
        </a:xfrm>
        <a:prstGeom prst="rect">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de-DE" sz="1100" b="1" u="sng" baseline="0">
              <a:solidFill>
                <a:sysClr val="windowText" lastClr="000000"/>
              </a:solidFill>
              <a:effectLst/>
              <a:latin typeface="+mn-lt"/>
              <a:ea typeface="+mn-ea"/>
              <a:cs typeface="+mn-cs"/>
            </a:rPr>
            <a:t>Überblick zu den wesentlichen Änderungen in der Version 2.0:</a:t>
          </a:r>
          <a:br>
            <a:rPr lang="de-DE" sz="1100" b="1" u="sng" baseline="0">
              <a:solidFill>
                <a:sysClr val="windowText" lastClr="000000"/>
              </a:solidFill>
              <a:effectLst/>
              <a:latin typeface="+mn-lt"/>
              <a:ea typeface="+mn-ea"/>
              <a:cs typeface="+mn-cs"/>
            </a:rPr>
          </a:br>
          <a:endParaRPr lang="de-DE" sz="1100" b="1" u="sng" baseline="0">
            <a:solidFill>
              <a:sysClr val="windowText" lastClr="000000"/>
            </a:solidFill>
            <a:effectLst/>
            <a:latin typeface="+mn-lt"/>
            <a:ea typeface="+mn-ea"/>
            <a:cs typeface="+mn-cs"/>
          </a:endParaRPr>
        </a:p>
        <a:p>
          <a:pPr lvl="0"/>
          <a:r>
            <a:rPr lang="de-DE" sz="1100" b="1" u="none" baseline="0">
              <a:solidFill>
                <a:sysClr val="windowText" lastClr="000000"/>
              </a:solidFill>
              <a:effectLst/>
              <a:latin typeface="+mn-lt"/>
              <a:ea typeface="+mn-ea"/>
              <a:cs typeface="+mn-cs"/>
            </a:rPr>
            <a:t>Sanierungen:</a:t>
          </a:r>
          <a:br>
            <a:rPr lang="de-DE" sz="1100" b="0" u="none" baseline="0">
              <a:solidFill>
                <a:sysClr val="windowText" lastClr="000000"/>
              </a:solidFill>
              <a:effectLst/>
              <a:latin typeface="+mn-lt"/>
              <a:ea typeface="+mn-ea"/>
              <a:cs typeface="+mn-cs"/>
            </a:rPr>
          </a:br>
          <a:r>
            <a:rPr lang="de-DE" sz="1100" b="0" u="none" baseline="0">
              <a:solidFill>
                <a:sysClr val="windowText" lastClr="000000"/>
              </a:solidFill>
              <a:effectLst/>
              <a:latin typeface="+mn-lt"/>
              <a:ea typeface="+mn-ea"/>
              <a:cs typeface="+mn-cs"/>
            </a:rPr>
            <a:t>im Reiter B_1 Gebäudekaltmiete kann in Version 2.0 auch der Fall von Sanierungen abgebildet werden (Mischung aus Sanierungskosten und Ansatz für den Altbau). Der noch anerkennungsfähige Ansatz für den Altbau muss allerdings in einer getrennten Nebenrechnung geeint und ins KdU-Tool eingesetzt werden.</a:t>
          </a:r>
        </a:p>
        <a:p>
          <a:pPr lvl="0"/>
          <a:endParaRPr lang="de-DE" sz="1100" b="1" u="none" baseline="0">
            <a:solidFill>
              <a:sysClr val="windowText" lastClr="000000"/>
            </a:solidFill>
            <a:effectLst/>
            <a:latin typeface="+mn-lt"/>
            <a:ea typeface="+mn-ea"/>
            <a:cs typeface="+mn-cs"/>
          </a:endParaRPr>
        </a:p>
        <a:p>
          <a:pPr lvl="0"/>
          <a:r>
            <a:rPr lang="de-DE" sz="1100" b="1" u="none" baseline="0">
              <a:solidFill>
                <a:sysClr val="windowText" lastClr="000000"/>
              </a:solidFill>
              <a:effectLst/>
              <a:latin typeface="+mn-lt"/>
              <a:ea typeface="+mn-ea"/>
              <a:cs typeface="+mn-cs"/>
            </a:rPr>
            <a:t>Ausstattungs-Pauschale</a:t>
          </a:r>
        </a:p>
        <a:p>
          <a:pPr lvl="0"/>
          <a:r>
            <a:rPr lang="de-DE" sz="1100" b="0" u="none" baseline="0">
              <a:solidFill>
                <a:sysClr val="windowText" lastClr="000000"/>
              </a:solidFill>
              <a:effectLst/>
              <a:latin typeface="+mn-lt"/>
              <a:ea typeface="+mn-ea"/>
              <a:cs typeface="+mn-cs"/>
            </a:rPr>
            <a:t>Die Höhe der Pauschale für Ausstattung wird ab 2025 jährlich fortgeschrieben und an die Kostenentwicklung (Inflation) angepasst. Der Ausgangswert für die Indexierung beträgt 7.235 € pro Platz  für das Jahr 2025. Für Bestands-Gebäude erfolgt die Anpassung erstmals zum 01.01.2028. Genauere Erläuterungen: Siehe Ausfüllhilfe.</a:t>
          </a:r>
        </a:p>
        <a:p>
          <a:pPr lvl="0"/>
          <a:r>
            <a:rPr lang="de-DE" sz="1100" b="0" u="none" baseline="0">
              <a:solidFill>
                <a:sysClr val="windowText" lastClr="000000"/>
              </a:solidFill>
              <a:effectLst/>
              <a:latin typeface="+mn-lt"/>
              <a:ea typeface="+mn-ea"/>
              <a:cs typeface="+mn-cs"/>
            </a:rPr>
            <a:t>Nach erstmaligem Ansatz einer neuen Pauschale bleibt diese während der Abschreibungsdauer (8 Jahre) unverändert und wird erst ab dem 9. Jahr auf den dann aktuellen Wert angepasst.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baseline="0">
              <a:solidFill>
                <a:sysClr val="windowText" lastClr="000000"/>
              </a:solidFill>
              <a:effectLst/>
              <a:latin typeface="+mn-lt"/>
              <a:ea typeface="+mn-ea"/>
              <a:cs typeface="+mn-cs"/>
            </a:rPr>
            <a:t>Dies gilt auch für den Fall der Rechnung mit einem Alt-IK, der bereits einen Ansatz für Ausstattung enthält.</a:t>
          </a:r>
          <a:br>
            <a:rPr lang="de-DE" sz="1100" b="0" u="none" baseline="0">
              <a:solidFill>
                <a:sysClr val="windowText" lastClr="000000"/>
              </a:solidFill>
              <a:effectLst/>
              <a:latin typeface="+mn-lt"/>
              <a:ea typeface="+mn-ea"/>
              <a:cs typeface="+mn-cs"/>
            </a:rPr>
          </a:br>
          <a:r>
            <a:rPr lang="de-DE" sz="1100" b="0" u="none" baseline="0">
              <a:solidFill>
                <a:sysClr val="windowText" lastClr="000000"/>
              </a:solidFill>
              <a:effectLst/>
              <a:latin typeface="+mn-lt"/>
              <a:ea typeface="+mn-ea"/>
              <a:cs typeface="+mn-cs"/>
            </a:rPr>
            <a:t>Die Berechnung erfolgt für alle Varianten in Version 2.0 automatisiert in Reiter D. </a:t>
          </a:r>
        </a:p>
        <a:p>
          <a:pPr lvl="0"/>
          <a:endParaRPr lang="de-DE" sz="1100" b="0" u="none" baseline="0">
            <a:solidFill>
              <a:sysClr val="windowText" lastClr="000000"/>
            </a:solidFill>
            <a:effectLst/>
            <a:latin typeface="+mn-lt"/>
            <a:ea typeface="+mn-ea"/>
            <a:cs typeface="+mn-cs"/>
          </a:endParaRPr>
        </a:p>
        <a:p>
          <a:pPr lvl="0"/>
          <a:r>
            <a:rPr lang="de-DE" sz="1100" b="1" baseline="0">
              <a:solidFill>
                <a:schemeClr val="tx1"/>
              </a:solidFill>
              <a:effectLst/>
              <a:latin typeface="+mn-lt"/>
              <a:ea typeface="+mn-ea"/>
              <a:cs typeface="+mn-cs"/>
            </a:rPr>
            <a:t>Solitäre Kurzzeit-Plätze / ganzjährig vorgehaltene Kurzzeit-Plätze in besonderen Wohnformen</a:t>
          </a:r>
          <a:br>
            <a:rPr lang="de-DE" sz="1100" b="1" baseline="0">
              <a:solidFill>
                <a:schemeClr val="tx1"/>
              </a:solidFill>
              <a:effectLst/>
              <a:latin typeface="+mn-lt"/>
              <a:ea typeface="+mn-ea"/>
              <a:cs typeface="+mn-cs"/>
            </a:rPr>
          </a:br>
          <a:r>
            <a:rPr lang="de-DE" sz="1100" b="0" baseline="0">
              <a:solidFill>
                <a:schemeClr val="tx1"/>
              </a:solidFill>
              <a:effectLst/>
              <a:latin typeface="+mn-lt"/>
              <a:ea typeface="+mn-ea"/>
              <a:cs typeface="+mn-cs"/>
            </a:rPr>
            <a:t>Das KdU-Tool kann auch für die Berechnung von Einrichtungen solitärer Kurzzeit-Angebote sowie ganzzjährig vorgehaltener Kurzzeit-Plätze genutzt werden. </a:t>
          </a:r>
          <a:br>
            <a:rPr lang="de-DE" sz="1100" b="0" u="none" baseline="0">
              <a:solidFill>
                <a:sysClr val="windowText" lastClr="000000"/>
              </a:solidFill>
              <a:effectLst/>
              <a:latin typeface="+mn-lt"/>
              <a:ea typeface="+mn-ea"/>
              <a:cs typeface="+mn-cs"/>
            </a:rPr>
          </a:br>
          <a:endParaRPr lang="de-DE" sz="1100" b="0" u="none" baseline="0">
            <a:solidFill>
              <a:sysClr val="windowText" lastClr="000000"/>
            </a:solidFill>
            <a:effectLst/>
            <a:latin typeface="+mn-lt"/>
            <a:ea typeface="+mn-ea"/>
            <a:cs typeface="+mn-cs"/>
          </a:endParaRPr>
        </a:p>
        <a:p>
          <a:pPr lvl="0"/>
          <a:r>
            <a:rPr lang="de-DE" sz="1100" b="1" u="none" baseline="0">
              <a:solidFill>
                <a:sysClr val="windowText" lastClr="000000"/>
              </a:solidFill>
              <a:effectLst/>
              <a:latin typeface="+mn-lt"/>
              <a:ea typeface="+mn-ea"/>
              <a:cs typeface="+mn-cs"/>
            </a:rPr>
            <a:t>Reiter E gestrichen</a:t>
          </a:r>
          <a:br>
            <a:rPr lang="de-DE" sz="1100" b="0" u="none" baseline="0">
              <a:solidFill>
                <a:sysClr val="windowText" lastClr="000000"/>
              </a:solidFill>
              <a:effectLst/>
              <a:latin typeface="+mn-lt"/>
              <a:ea typeface="+mn-ea"/>
              <a:cs typeface="+mn-cs"/>
            </a:rPr>
          </a:br>
          <a:r>
            <a:rPr lang="de-DE" sz="1100" b="0" u="none" baseline="0">
              <a:solidFill>
                <a:sysClr val="windowText" lastClr="000000"/>
              </a:solidFill>
              <a:effectLst/>
              <a:latin typeface="+mn-lt"/>
              <a:ea typeface="+mn-ea"/>
              <a:cs typeface="+mn-cs"/>
            </a:rPr>
            <a:t>Den Reiter E Mietberechnung gibt es in Version 2.0 nicht mehr. Alle Ergebnisse werden im Reiter Erg.-Übersicht angezeigt. Die Erfassung der angemessenen Grundsicherungsmiete erfolgt im Reiter Stammdaten.</a:t>
          </a:r>
        </a:p>
        <a:p>
          <a:pPr lvl="0"/>
          <a:endParaRPr lang="de-DE" sz="1100" b="0" u="none" baseline="0">
            <a:solidFill>
              <a:sysClr val="windowText" lastClr="000000"/>
            </a:solidFill>
            <a:effectLst/>
            <a:latin typeface="+mn-lt"/>
            <a:ea typeface="+mn-ea"/>
            <a:cs typeface="+mn-cs"/>
          </a:endParaRPr>
        </a:p>
        <a:p>
          <a:pPr lvl="0"/>
          <a:r>
            <a:rPr lang="de-DE" sz="1100" b="1" u="sng" baseline="0">
              <a:solidFill>
                <a:sysClr val="windowText" lastClr="000000"/>
              </a:solidFill>
              <a:effectLst/>
              <a:latin typeface="+mn-lt"/>
              <a:ea typeface="+mn-ea"/>
              <a:cs typeface="+mn-cs"/>
            </a:rPr>
            <a:t>Hinweis für Nebenrechnungen:</a:t>
          </a:r>
          <a:br>
            <a:rPr lang="de-DE" sz="1100" b="0" u="none" baseline="0">
              <a:solidFill>
                <a:sysClr val="windowText" lastClr="000000"/>
              </a:solidFill>
              <a:effectLst/>
              <a:latin typeface="+mn-lt"/>
              <a:ea typeface="+mn-ea"/>
              <a:cs typeface="+mn-cs"/>
            </a:rPr>
          </a:br>
          <a:r>
            <a:rPr lang="de-DE" sz="1100" b="0" u="none" baseline="0">
              <a:solidFill>
                <a:sysClr val="windowText" lastClr="000000"/>
              </a:solidFill>
              <a:effectLst/>
              <a:latin typeface="+mn-lt"/>
              <a:ea typeface="+mn-ea"/>
              <a:cs typeface="+mn-cs"/>
            </a:rPr>
            <a:t>Sie können im KdU-Tool für evtl. notwendige Nebenrechnungen weitere Reiter einfügen ("+" Zeichen nach dem letzten Reiter). Neu hinzugefügte Reiter unterliegen keinem Schreibschutz und sind frei formatierbar.</a:t>
          </a: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5</xdr:col>
      <xdr:colOff>161925</xdr:colOff>
      <xdr:row>0</xdr:row>
      <xdr:rowOff>22225</xdr:rowOff>
    </xdr:from>
    <xdr:ext cx="3076575" cy="625475"/>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680325" y="22225"/>
          <a:ext cx="3076575" cy="62547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In diesem Reiter sind keine manuellen Eintragungen vorzunehmen. Alle Werte ergeben sich aus den Berechnungen der anderen Reiter.</a:t>
          </a: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8</xdr:col>
      <xdr:colOff>0</xdr:colOff>
      <xdr:row>0</xdr:row>
      <xdr:rowOff>247650</xdr:rowOff>
    </xdr:from>
    <xdr:ext cx="5429250" cy="269240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7607300" y="247650"/>
          <a:ext cx="5429250" cy="2692400"/>
        </a:xfrm>
        <a:prstGeom prst="rect">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de-DE" sz="1100" b="1" u="sng" baseline="0">
              <a:solidFill>
                <a:schemeClr val="tx1"/>
              </a:solidFill>
              <a:effectLst/>
              <a:latin typeface="+mn-lt"/>
              <a:ea typeface="+mn-ea"/>
              <a:cs typeface="+mn-cs"/>
            </a:rPr>
            <a:t>Hinweise zum Blattschutz im Reiter A Flächen:</a:t>
          </a:r>
          <a:br>
            <a:rPr lang="de-DE" sz="1100" b="1" u="sng" baseline="0">
              <a:solidFill>
                <a:schemeClr val="tx1"/>
              </a:solidFill>
              <a:effectLst/>
              <a:latin typeface="+mn-lt"/>
              <a:ea typeface="+mn-ea"/>
              <a:cs typeface="+mn-cs"/>
            </a:rPr>
          </a:br>
          <a:r>
            <a:rPr lang="de-DE" sz="1100" i="0">
              <a:solidFill>
                <a:schemeClr val="tx1"/>
              </a:solidFill>
              <a:effectLst/>
              <a:latin typeface="+mn-lt"/>
              <a:ea typeface="+mn-ea"/>
              <a:cs typeface="+mn-cs"/>
            </a:rPr>
            <a:t>Im Reiter A Flächen wurde auf einen Passwort-Schutz verzichtet. Sofern die im Standard vorgesehenen Zeilen für die Räume des zu erfassenden Gebäudes nicht ausreichen, können Sie weitere Zeilen einfügen.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 </a:t>
          </a:r>
          <a:r>
            <a:rPr lang="de-DE" sz="1100" i="0">
              <a:solidFill>
                <a:schemeClr val="tx1"/>
              </a:solidFill>
              <a:effectLst/>
              <a:latin typeface="+mn-lt"/>
              <a:ea typeface="+mn-ea"/>
              <a:cs typeface="+mn-cs"/>
            </a:rPr>
            <a:t>Klicken Sie hierzu oben in der Menüzeile auf "Überprüfen" und dann auf das Feld "Blattschutz aufheben".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a:t>
          </a:r>
          <a:r>
            <a:rPr lang="de-DE" sz="1100" b="1" i="0">
              <a:solidFill>
                <a:schemeClr val="tx1"/>
              </a:solidFill>
              <a:effectLst/>
              <a:latin typeface="+mn-lt"/>
              <a:ea typeface="+mn-ea"/>
              <a:cs typeface="+mn-cs"/>
            </a:rPr>
            <a:t>Fügen Sie weitere Zeilen für weitere Räume bitte </a:t>
          </a:r>
          <a:r>
            <a:rPr lang="de-DE" sz="1100" b="1" i="0" u="sng">
              <a:solidFill>
                <a:schemeClr val="tx1"/>
              </a:solidFill>
              <a:effectLst/>
              <a:latin typeface="+mn-lt"/>
              <a:ea typeface="+mn-ea"/>
              <a:cs typeface="+mn-cs"/>
            </a:rPr>
            <a:t>NICHT</a:t>
          </a:r>
          <a:r>
            <a:rPr lang="de-DE" sz="1100" b="1" i="0">
              <a:solidFill>
                <a:schemeClr val="tx1"/>
              </a:solidFill>
              <a:effectLst/>
              <a:latin typeface="+mn-lt"/>
              <a:ea typeface="+mn-ea"/>
              <a:cs typeface="+mn-cs"/>
            </a:rPr>
            <a:t> nach der letzten gelben Zeilen der verschiedenen Raum-Typen (bspw. „Flächen persönlicher Wohnraum“) ein, sondern immer ein paar Zeilen weiter oben</a:t>
          </a:r>
          <a:r>
            <a:rPr lang="de-DE" sz="1100" i="0">
              <a:solidFill>
                <a:schemeClr val="tx1"/>
              </a:solidFill>
              <a:effectLst/>
              <a:latin typeface="+mn-lt"/>
              <a:ea typeface="+mn-ea"/>
              <a:cs typeface="+mn-cs"/>
            </a:rPr>
            <a:t>. So stellen Sie sicher, dass alle Summen-Formeln die neu eingefügten Zeilen berücksichtigen. </a:t>
          </a:r>
        </a:p>
        <a:p>
          <a:pPr lvl="0"/>
          <a:r>
            <a:rPr lang="de-DE" sz="1100" b="1" i="0">
              <a:solidFill>
                <a:schemeClr val="tx1"/>
              </a:solidFill>
              <a:effectLst/>
              <a:latin typeface="+mn-lt"/>
              <a:ea typeface="+mn-ea"/>
              <a:cs typeface="+mn-cs"/>
              <a:sym typeface="Wingdings"/>
            </a:rPr>
            <a:t></a:t>
          </a:r>
          <a:r>
            <a:rPr lang="de-DE" sz="1100" b="1" i="0">
              <a:solidFill>
                <a:schemeClr val="tx1"/>
              </a:solidFill>
              <a:effectLst/>
              <a:latin typeface="+mn-lt"/>
              <a:ea typeface="+mn-ea"/>
              <a:cs typeface="+mn-cs"/>
            </a:rPr>
            <a:t> Kopieren Sie anschließend eine der bestehenden gelben Zeilen dieses Raum-Typs auf die neu eingefügten Zeilen. </a:t>
          </a:r>
          <a:r>
            <a:rPr lang="de-DE" sz="1100" i="0">
              <a:solidFill>
                <a:schemeClr val="tx1"/>
              </a:solidFill>
              <a:effectLst/>
              <a:latin typeface="+mn-lt"/>
              <a:ea typeface="+mn-ea"/>
              <a:cs typeface="+mn-cs"/>
            </a:rPr>
            <a:t>So stellen Sie sicher, dass alle Formatierungen korrekt auch in die neuen Zeilen übernommen werden.</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Bitte stellen Sie den Blattschutz anschließend wieder her ("Überprüfen",</a:t>
          </a:r>
          <a:r>
            <a:rPr lang="de-DE" sz="1100" i="0" baseline="0">
              <a:solidFill>
                <a:schemeClr val="tx1"/>
              </a:solidFill>
              <a:effectLst/>
              <a:latin typeface="+mn-lt"/>
              <a:ea typeface="+mn-ea"/>
              <a:cs typeface="+mn-cs"/>
            </a:rPr>
            <a:t> "Blatt schützen")</a:t>
          </a:r>
          <a:r>
            <a:rPr lang="de-DE" sz="1100" i="0">
              <a:solidFill>
                <a:schemeClr val="tx1"/>
              </a:solidFill>
              <a:effectLst/>
              <a:latin typeface="+mn-lt"/>
              <a:ea typeface="+mn-ea"/>
              <a:cs typeface="+mn-cs"/>
            </a:rPr>
            <a:t>.</a:t>
          </a:r>
          <a:endParaRPr lang="de-DE" sz="900" b="0" i="1">
            <a:solidFill>
              <a:sysClr val="windowText" lastClr="00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0</xdr:row>
      <xdr:rowOff>76200</xdr:rowOff>
    </xdr:from>
    <xdr:to>
      <xdr:col>4</xdr:col>
      <xdr:colOff>0</xdr:colOff>
      <xdr:row>0</xdr:row>
      <xdr:rowOff>276861</xdr:rowOff>
    </xdr:to>
    <xdr:pic>
      <xdr:nvPicPr>
        <xdr:cNvPr id="4" name="Grafik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76200"/>
          <a:ext cx="1302384" cy="1974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0</xdr:row>
      <xdr:rowOff>76200</xdr:rowOff>
    </xdr:from>
    <xdr:to>
      <xdr:col>5</xdr:col>
      <xdr:colOff>0</xdr:colOff>
      <xdr:row>0</xdr:row>
      <xdr:rowOff>187961</xdr:rowOff>
    </xdr:to>
    <xdr:pic>
      <xdr:nvPicPr>
        <xdr:cNvPr id="4" name="Grafik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5" y="76200"/>
          <a:ext cx="0" cy="197486"/>
        </a:xfrm>
        <a:prstGeom prst="rect">
          <a:avLst/>
        </a:prstGeom>
      </xdr:spPr>
    </xdr:pic>
    <xdr:clientData/>
  </xdr:twoCellAnchor>
  <xdr:twoCellAnchor editAs="oneCell">
    <xdr:from>
      <xdr:col>5</xdr:col>
      <xdr:colOff>0</xdr:colOff>
      <xdr:row>0</xdr:row>
      <xdr:rowOff>76200</xdr:rowOff>
    </xdr:from>
    <xdr:to>
      <xdr:col>5</xdr:col>
      <xdr:colOff>0</xdr:colOff>
      <xdr:row>0</xdr:row>
      <xdr:rowOff>187961</xdr:rowOff>
    </xdr:to>
    <xdr:pic>
      <xdr:nvPicPr>
        <xdr:cNvPr id="6" name="Grafik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76200"/>
          <a:ext cx="0" cy="1117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3" name="Grafik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85725"/>
          <a:ext cx="1302384" cy="1974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7</xdr:col>
      <xdr:colOff>9525</xdr:colOff>
      <xdr:row>23</xdr:row>
      <xdr:rowOff>320990</xdr:rowOff>
    </xdr:from>
    <xdr:ext cx="4733925" cy="621986"/>
    <xdr:sp macro="" textlink="">
      <xdr:nvSpPr>
        <xdr:cNvPr id="3" name="Textfeld 2">
          <a:extLst>
            <a:ext uri="{FF2B5EF4-FFF2-40B4-BE49-F238E27FC236}">
              <a16:creationId xmlns:a16="http://schemas.microsoft.com/office/drawing/2014/main" id="{00000000-0008-0000-0900-000003000000}"/>
            </a:ext>
          </a:extLst>
        </xdr:cNvPr>
        <xdr:cNvSpPr txBox="1"/>
      </xdr:nvSpPr>
      <xdr:spPr>
        <a:xfrm>
          <a:off x="8124825" y="6493190"/>
          <a:ext cx="4733925" cy="62198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Ab dieser Stelle sind im Reiter keine weiteren manuellen Eintragungen vorzunehmen. Alle Werte ergeben sich aus den Berechnungen der Reiter A - E, sowie obiger Festlegung der Kaltmiete für die Zimmertypen.</a:t>
          </a:r>
        </a:p>
      </xdr:txBody>
    </xdr:sp>
    <xdr:clientData fPrintsWithSheet="0"/>
  </xdr:one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2" name="Grafik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3450" y="85725"/>
          <a:ext cx="0" cy="1022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tabSelected="1" zoomScaleNormal="100" workbookViewId="0">
      <selection activeCell="A4" sqref="A4"/>
    </sheetView>
  </sheetViews>
  <sheetFormatPr baseColWidth="10" defaultColWidth="11.42578125" defaultRowHeight="15" x14ac:dyDescent="0.25"/>
  <cols>
    <col min="1" max="1" width="29.42578125" style="60" customWidth="1"/>
    <col min="2" max="2" width="30.85546875" style="60" customWidth="1"/>
    <col min="3" max="3" width="19.42578125" style="60" customWidth="1"/>
    <col min="4" max="4" width="10.85546875" style="60" customWidth="1"/>
    <col min="5" max="5" width="11.42578125" style="135"/>
    <col min="6" max="16384" width="11.42578125" style="60"/>
  </cols>
  <sheetData>
    <row r="1" spans="1:4" ht="26.25" x14ac:dyDescent="0.4">
      <c r="A1" s="523" t="s">
        <v>287</v>
      </c>
      <c r="B1" s="400"/>
      <c r="C1" s="400"/>
      <c r="D1" s="513"/>
    </row>
    <row r="2" spans="1:4" ht="26.25" x14ac:dyDescent="0.4">
      <c r="A2" s="524" t="s">
        <v>263</v>
      </c>
      <c r="B2" s="401"/>
      <c r="C2" s="401"/>
      <c r="D2" s="525" t="s">
        <v>355</v>
      </c>
    </row>
    <row r="3" spans="1:4" x14ac:dyDescent="0.25">
      <c r="A3" s="110">
        <f>+B5</f>
        <v>0</v>
      </c>
      <c r="B3" s="111">
        <f>+B6</f>
        <v>0</v>
      </c>
      <c r="C3" s="526" t="s">
        <v>36</v>
      </c>
      <c r="D3" s="527"/>
    </row>
    <row r="4" spans="1:4" ht="26.25" x14ac:dyDescent="0.4">
      <c r="A4" s="61"/>
      <c r="B4" s="62"/>
      <c r="C4" s="62"/>
      <c r="D4" s="63"/>
    </row>
    <row r="5" spans="1:4" x14ac:dyDescent="0.25">
      <c r="A5" s="109" t="s">
        <v>144</v>
      </c>
      <c r="B5" s="841"/>
      <c r="C5" s="62"/>
      <c r="D5" s="63"/>
    </row>
    <row r="6" spans="1:4" x14ac:dyDescent="0.25">
      <c r="A6" s="109" t="s">
        <v>286</v>
      </c>
      <c r="B6" s="841"/>
      <c r="C6" s="62"/>
      <c r="D6" s="63"/>
    </row>
    <row r="7" spans="1:4" x14ac:dyDescent="0.25">
      <c r="A7" s="109" t="s">
        <v>145</v>
      </c>
      <c r="B7" s="841"/>
      <c r="C7" s="62"/>
      <c r="D7" s="63"/>
    </row>
    <row r="8" spans="1:4" x14ac:dyDescent="0.25">
      <c r="A8" s="31" t="s">
        <v>248</v>
      </c>
      <c r="B8" s="65"/>
      <c r="C8" s="62"/>
      <c r="D8" s="63"/>
    </row>
    <row r="9" spans="1:4" x14ac:dyDescent="0.25">
      <c r="A9" s="31" t="s">
        <v>341</v>
      </c>
      <c r="B9" s="65"/>
      <c r="C9" s="62"/>
      <c r="D9" s="63"/>
    </row>
    <row r="10" spans="1:4" x14ac:dyDescent="0.25">
      <c r="A10" s="31" t="s">
        <v>361</v>
      </c>
      <c r="B10" s="930"/>
      <c r="C10" s="62"/>
      <c r="D10" s="63"/>
    </row>
    <row r="11" spans="1:4" x14ac:dyDescent="0.25">
      <c r="A11" s="912"/>
      <c r="B11" s="923"/>
      <c r="C11" s="62"/>
      <c r="D11" s="63"/>
    </row>
    <row r="12" spans="1:4" x14ac:dyDescent="0.25">
      <c r="A12" s="621" t="s">
        <v>301</v>
      </c>
      <c r="B12" s="62"/>
      <c r="C12" s="62"/>
      <c r="D12" s="63"/>
    </row>
    <row r="13" spans="1:4" x14ac:dyDescent="0.25">
      <c r="A13" s="66"/>
      <c r="B13" s="62"/>
      <c r="C13" s="62"/>
      <c r="D13" s="63"/>
    </row>
    <row r="14" spans="1:4" x14ac:dyDescent="0.25">
      <c r="A14" s="66"/>
      <c r="B14" s="62"/>
      <c r="C14" s="62"/>
      <c r="D14" s="63"/>
    </row>
    <row r="15" spans="1:4" x14ac:dyDescent="0.25">
      <c r="A15" s="66"/>
      <c r="B15" s="62"/>
      <c r="C15" s="62"/>
      <c r="D15" s="63"/>
    </row>
    <row r="16" spans="1:4" x14ac:dyDescent="0.25">
      <c r="A16" s="66"/>
      <c r="B16" s="62"/>
      <c r="C16" s="62"/>
      <c r="D16" s="63"/>
    </row>
    <row r="17" spans="1:4" x14ac:dyDescent="0.25">
      <c r="A17" s="66"/>
      <c r="B17" s="62"/>
      <c r="C17" s="62"/>
      <c r="D17" s="63"/>
    </row>
    <row r="18" spans="1:4" x14ac:dyDescent="0.25">
      <c r="A18" s="66"/>
      <c r="B18" s="62"/>
      <c r="C18" s="62"/>
      <c r="D18" s="63"/>
    </row>
    <row r="19" spans="1:4" x14ac:dyDescent="0.25">
      <c r="A19" s="66"/>
      <c r="B19" s="62"/>
      <c r="C19" s="62"/>
      <c r="D19" s="63"/>
    </row>
    <row r="20" spans="1:4" x14ac:dyDescent="0.25">
      <c r="A20" s="66"/>
      <c r="B20" s="62"/>
      <c r="C20" s="62"/>
      <c r="D20" s="63"/>
    </row>
    <row r="21" spans="1:4" x14ac:dyDescent="0.25">
      <c r="A21" s="66"/>
      <c r="B21" s="62"/>
      <c r="C21" s="62"/>
      <c r="D21" s="63"/>
    </row>
    <row r="22" spans="1:4" x14ac:dyDescent="0.25">
      <c r="A22" s="66"/>
      <c r="B22" s="62"/>
      <c r="C22" s="62"/>
      <c r="D22" s="63"/>
    </row>
    <row r="23" spans="1:4" x14ac:dyDescent="0.25">
      <c r="A23" s="66"/>
      <c r="B23" s="62"/>
      <c r="C23" s="62"/>
      <c r="D23" s="63"/>
    </row>
    <row r="24" spans="1:4" x14ac:dyDescent="0.25">
      <c r="A24" s="66"/>
      <c r="B24" s="62"/>
      <c r="C24" s="62"/>
      <c r="D24" s="63"/>
    </row>
    <row r="25" spans="1:4" x14ac:dyDescent="0.25">
      <c r="A25" s="66"/>
      <c r="B25" s="62"/>
      <c r="C25" s="62"/>
      <c r="D25" s="63"/>
    </row>
    <row r="26" spans="1:4" x14ac:dyDescent="0.25">
      <c r="A26" s="66"/>
      <c r="B26" s="62"/>
      <c r="C26" s="62"/>
      <c r="D26" s="63"/>
    </row>
    <row r="27" spans="1:4" x14ac:dyDescent="0.25">
      <c r="A27" s="66"/>
      <c r="B27" s="62"/>
      <c r="C27" s="62"/>
      <c r="D27" s="63"/>
    </row>
    <row r="28" spans="1:4" x14ac:dyDescent="0.25">
      <c r="A28" s="66"/>
      <c r="B28" s="62"/>
      <c r="C28" s="62"/>
      <c r="D28" s="63"/>
    </row>
    <row r="29" spans="1:4" x14ac:dyDescent="0.25">
      <c r="A29" s="66"/>
      <c r="B29" s="62"/>
      <c r="C29" s="62"/>
      <c r="D29" s="63"/>
    </row>
    <row r="30" spans="1:4" x14ac:dyDescent="0.25">
      <c r="A30" s="66"/>
      <c r="B30" s="62"/>
      <c r="C30" s="62"/>
      <c r="D30" s="63"/>
    </row>
    <row r="31" spans="1:4" x14ac:dyDescent="0.25">
      <c r="A31" s="66"/>
      <c r="B31" s="62"/>
      <c r="C31" s="62"/>
      <c r="D31" s="63"/>
    </row>
    <row r="32" spans="1:4" x14ac:dyDescent="0.25">
      <c r="A32" s="66"/>
      <c r="B32" s="62"/>
      <c r="C32" s="62"/>
      <c r="D32" s="63"/>
    </row>
    <row r="33" spans="1:4" x14ac:dyDescent="0.25">
      <c r="A33" s="66"/>
      <c r="B33" s="62"/>
      <c r="C33" s="62"/>
      <c r="D33" s="63"/>
    </row>
    <row r="34" spans="1:4" x14ac:dyDescent="0.25">
      <c r="A34" s="66"/>
      <c r="B34" s="62"/>
      <c r="C34" s="62"/>
      <c r="D34" s="63"/>
    </row>
    <row r="35" spans="1:4" x14ac:dyDescent="0.25">
      <c r="A35" s="66"/>
      <c r="B35" s="62"/>
      <c r="C35" s="62"/>
      <c r="D35" s="63"/>
    </row>
    <row r="36" spans="1:4" x14ac:dyDescent="0.25">
      <c r="A36" s="66"/>
      <c r="B36" s="62"/>
      <c r="C36" s="62"/>
      <c r="D36" s="63"/>
    </row>
    <row r="37" spans="1:4" x14ac:dyDescent="0.25">
      <c r="A37" s="66"/>
      <c r="B37" s="62"/>
      <c r="C37" s="62"/>
      <c r="D37" s="63"/>
    </row>
    <row r="38" spans="1:4" x14ac:dyDescent="0.25">
      <c r="A38" s="66"/>
      <c r="B38" s="62"/>
      <c r="C38" s="62"/>
      <c r="D38" s="63"/>
    </row>
    <row r="39" spans="1:4" x14ac:dyDescent="0.25">
      <c r="A39" s="66"/>
      <c r="B39" s="62"/>
      <c r="C39" s="62"/>
      <c r="D39" s="63"/>
    </row>
    <row r="40" spans="1:4" x14ac:dyDescent="0.25">
      <c r="A40" s="66"/>
      <c r="B40" s="62"/>
      <c r="C40" s="62"/>
      <c r="D40" s="63"/>
    </row>
    <row r="41" spans="1:4" x14ac:dyDescent="0.25">
      <c r="A41" s="66"/>
      <c r="B41" s="62"/>
      <c r="C41" s="62"/>
      <c r="D41" s="63"/>
    </row>
    <row r="42" spans="1:4" ht="34.5" customHeight="1" x14ac:dyDescent="0.25">
      <c r="A42" s="67"/>
      <c r="B42" s="68"/>
      <c r="C42" s="68"/>
      <c r="D42" s="69"/>
    </row>
  </sheetData>
  <sheetProtection algorithmName="SHA-512" hashValue="I2Pj+IvVg10+OUpjRV2R8NjUKCxwuB3CpKotGsU1+fqYQz5E7VPG1W7PQYowNT0plBvGVAa2cGK0EmHx9Uhv2w==" saltValue="FnXAcPlOfaMKZES9+VaCkA==" spinCount="100000" sheet="1" objects="1" scenarios="1"/>
  <pageMargins left="0.7" right="0.7" top="0.78740157499999996" bottom="0.78740157499999996" header="0.3" footer="0.3"/>
  <pageSetup paperSize="9" scale="96"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7"/>
  <sheetViews>
    <sheetView zoomScaleNormal="100" workbookViewId="0">
      <selection activeCell="A4" sqref="A4"/>
    </sheetView>
  </sheetViews>
  <sheetFormatPr baseColWidth="10" defaultColWidth="11.42578125" defaultRowHeight="15" x14ac:dyDescent="0.25"/>
  <cols>
    <col min="1" max="1" width="24" style="113" customWidth="1"/>
    <col min="2" max="2" width="20.42578125" style="113" customWidth="1"/>
    <col min="3" max="3" width="13.7109375" style="113" customWidth="1"/>
    <col min="4" max="4" width="14" style="113" customWidth="1"/>
    <col min="5" max="5" width="17.7109375" style="113" customWidth="1"/>
    <col min="6" max="6" width="16" style="113" customWidth="1"/>
    <col min="7" max="7" width="5.140625" style="113" customWidth="1"/>
    <col min="8" max="8" width="7.7109375" style="113" customWidth="1"/>
    <col min="9" max="9" width="13.28515625" style="113" bestFit="1" customWidth="1"/>
    <col min="10" max="16384" width="11.42578125" style="113"/>
  </cols>
  <sheetData>
    <row r="1" spans="1:7" ht="26.25" x14ac:dyDescent="0.4">
      <c r="A1" s="523" t="s">
        <v>287</v>
      </c>
      <c r="B1" s="580"/>
      <c r="C1" s="555"/>
      <c r="D1" s="555"/>
      <c r="E1" s="528"/>
      <c r="F1" s="518"/>
    </row>
    <row r="2" spans="1:7" ht="26.25" x14ac:dyDescent="0.4">
      <c r="A2" s="557" t="s">
        <v>274</v>
      </c>
      <c r="B2" s="581"/>
      <c r="C2" s="558"/>
      <c r="D2" s="558"/>
      <c r="E2" s="439"/>
      <c r="F2" s="525" t="str">
        <f>+Stammdaten!D2</f>
        <v>Version 2.0</v>
      </c>
    </row>
    <row r="3" spans="1:7" x14ac:dyDescent="0.25">
      <c r="A3" s="361">
        <f>+Stammdaten!B5</f>
        <v>0</v>
      </c>
      <c r="B3" s="582"/>
      <c r="C3" s="282">
        <f>+Stammdaten!B3</f>
        <v>0</v>
      </c>
      <c r="D3" s="282"/>
      <c r="E3" s="526" t="s">
        <v>36</v>
      </c>
      <c r="F3" s="527"/>
    </row>
    <row r="4" spans="1:7" ht="15.75" thickBot="1" x14ac:dyDescent="0.3">
      <c r="A4" s="372"/>
      <c r="B4" s="373"/>
      <c r="C4" s="114"/>
      <c r="D4" s="114"/>
      <c r="E4" s="114"/>
      <c r="F4" s="191"/>
    </row>
    <row r="5" spans="1:7" ht="91.5" customHeight="1" thickBot="1" x14ac:dyDescent="0.3">
      <c r="A5" s="1043" t="s">
        <v>370</v>
      </c>
      <c r="B5" s="1025"/>
      <c r="C5" s="1025"/>
      <c r="D5" s="1025"/>
      <c r="E5" s="1025"/>
      <c r="F5" s="1026"/>
    </row>
    <row r="6" spans="1:7" x14ac:dyDescent="0.25">
      <c r="A6" s="372"/>
      <c r="B6" s="373"/>
      <c r="C6" s="114"/>
      <c r="D6" s="114"/>
      <c r="E6" s="114"/>
      <c r="F6" s="191"/>
    </row>
    <row r="7" spans="1:7" ht="48" customHeight="1" x14ac:dyDescent="0.25">
      <c r="A7" s="1062" t="s">
        <v>262</v>
      </c>
      <c r="B7" s="1063"/>
      <c r="C7" s="1064"/>
      <c r="D7" s="486" t="s">
        <v>161</v>
      </c>
      <c r="E7" s="487" t="s">
        <v>20</v>
      </c>
      <c r="F7" s="487" t="s">
        <v>19</v>
      </c>
    </row>
    <row r="8" spans="1:7" x14ac:dyDescent="0.25">
      <c r="A8" s="488" t="s">
        <v>149</v>
      </c>
      <c r="B8" s="489"/>
      <c r="C8" s="490"/>
      <c r="D8" s="491"/>
      <c r="E8" s="492" t="e">
        <f>+'A Flächen'!E174</f>
        <v>#DIV/0!</v>
      </c>
      <c r="F8" s="493" t="e">
        <f>+'A Flächen'!E175</f>
        <v>#DIV/0!</v>
      </c>
    </row>
    <row r="9" spans="1:7" x14ac:dyDescent="0.25">
      <c r="A9" s="244"/>
      <c r="B9" s="115"/>
      <c r="C9" s="454"/>
      <c r="D9" s="202"/>
      <c r="E9" s="494" t="e">
        <f>+D9*$E$8</f>
        <v>#DIV/0!</v>
      </c>
      <c r="F9" s="453" t="e">
        <f>+D9*$F$8</f>
        <v>#DIV/0!</v>
      </c>
      <c r="G9" s="369" t="str">
        <f>+IF(AND('D Ausstatt.'!D14="x",'B_1 Geb. Kaltmiete'!D8=""),"ACHTUNG: Die automatisierte Differenz-Berechnung bei Ansatz Alt-IK funktioniert nur, wenn sowohl","")</f>
        <v/>
      </c>
    </row>
    <row r="10" spans="1:7" x14ac:dyDescent="0.25">
      <c r="A10" s="244"/>
      <c r="B10" s="115"/>
      <c r="C10" s="454"/>
      <c r="D10" s="202"/>
      <c r="E10" s="494" t="e">
        <f>+D10*$E$8</f>
        <v>#DIV/0!</v>
      </c>
      <c r="F10" s="453" t="e">
        <f>+D10*$F$8</f>
        <v>#DIV/0!</v>
      </c>
      <c r="G10" s="369" t="str">
        <f>+IF(AND('D Ausstatt.'!D14="x",'B_1 Geb. Kaltmiete'!D8=""),"im Reiter D Ausstattung in Feld D16 als auch im Reiter B_1 Geb. Kaltmiete im Feld D8 ein X gesetzt ist!","")</f>
        <v/>
      </c>
    </row>
    <row r="11" spans="1:7" x14ac:dyDescent="0.25">
      <c r="A11" s="244"/>
      <c r="B11" s="115"/>
      <c r="C11" s="454"/>
      <c r="D11" s="202"/>
      <c r="E11" s="494" t="e">
        <f t="shared" ref="E11:E55" si="0">+D11*$E$8</f>
        <v>#DIV/0!</v>
      </c>
      <c r="F11" s="453" t="e">
        <f t="shared" ref="F11:F55" si="1">+D11*$F$8</f>
        <v>#DIV/0!</v>
      </c>
    </row>
    <row r="12" spans="1:7" x14ac:dyDescent="0.25">
      <c r="A12" s="244"/>
      <c r="B12" s="115"/>
      <c r="C12" s="454"/>
      <c r="D12" s="202"/>
      <c r="E12" s="494" t="e">
        <f t="shared" si="0"/>
        <v>#DIV/0!</v>
      </c>
      <c r="F12" s="453" t="e">
        <f t="shared" si="1"/>
        <v>#DIV/0!</v>
      </c>
    </row>
    <row r="13" spans="1:7" x14ac:dyDescent="0.25">
      <c r="A13" s="244"/>
      <c r="B13" s="115"/>
      <c r="C13" s="454"/>
      <c r="D13" s="202"/>
      <c r="E13" s="494" t="e">
        <f t="shared" si="0"/>
        <v>#DIV/0!</v>
      </c>
      <c r="F13" s="453" t="e">
        <f t="shared" si="1"/>
        <v>#DIV/0!</v>
      </c>
    </row>
    <row r="14" spans="1:7" x14ac:dyDescent="0.25">
      <c r="A14" s="244"/>
      <c r="B14" s="115"/>
      <c r="C14" s="454"/>
      <c r="D14" s="202"/>
      <c r="E14" s="494" t="e">
        <f t="shared" si="0"/>
        <v>#DIV/0!</v>
      </c>
      <c r="F14" s="453" t="e">
        <f t="shared" si="1"/>
        <v>#DIV/0!</v>
      </c>
    </row>
    <row r="15" spans="1:7" x14ac:dyDescent="0.25">
      <c r="A15" s="244"/>
      <c r="B15" s="115"/>
      <c r="C15" s="454"/>
      <c r="D15" s="202"/>
      <c r="E15" s="494" t="e">
        <f t="shared" si="0"/>
        <v>#DIV/0!</v>
      </c>
      <c r="F15" s="453" t="e">
        <f t="shared" si="1"/>
        <v>#DIV/0!</v>
      </c>
    </row>
    <row r="16" spans="1:7" x14ac:dyDescent="0.25">
      <c r="A16" s="244"/>
      <c r="B16" s="115"/>
      <c r="C16" s="454"/>
      <c r="D16" s="202"/>
      <c r="E16" s="494" t="e">
        <f t="shared" si="0"/>
        <v>#DIV/0!</v>
      </c>
      <c r="F16" s="453" t="e">
        <f t="shared" si="1"/>
        <v>#DIV/0!</v>
      </c>
    </row>
    <row r="17" spans="1:6" x14ac:dyDescent="0.25">
      <c r="A17" s="244"/>
      <c r="B17" s="115"/>
      <c r="C17" s="454"/>
      <c r="D17" s="202"/>
      <c r="E17" s="494" t="e">
        <f t="shared" si="0"/>
        <v>#DIV/0!</v>
      </c>
      <c r="F17" s="453" t="e">
        <f t="shared" si="1"/>
        <v>#DIV/0!</v>
      </c>
    </row>
    <row r="18" spans="1:6" x14ac:dyDescent="0.25">
      <c r="A18" s="244"/>
      <c r="B18" s="115"/>
      <c r="C18" s="454"/>
      <c r="D18" s="202"/>
      <c r="E18" s="494" t="e">
        <f t="shared" si="0"/>
        <v>#DIV/0!</v>
      </c>
      <c r="F18" s="453" t="e">
        <f t="shared" si="1"/>
        <v>#DIV/0!</v>
      </c>
    </row>
    <row r="19" spans="1:6" x14ac:dyDescent="0.25">
      <c r="A19" s="244"/>
      <c r="B19" s="115"/>
      <c r="C19" s="454"/>
      <c r="D19" s="202"/>
      <c r="E19" s="494" t="e">
        <f t="shared" si="0"/>
        <v>#DIV/0!</v>
      </c>
      <c r="F19" s="453" t="e">
        <f t="shared" si="1"/>
        <v>#DIV/0!</v>
      </c>
    </row>
    <row r="20" spans="1:6" x14ac:dyDescent="0.25">
      <c r="A20" s="244"/>
      <c r="B20" s="115"/>
      <c r="C20" s="454"/>
      <c r="D20" s="202"/>
      <c r="E20" s="494" t="e">
        <f t="shared" si="0"/>
        <v>#DIV/0!</v>
      </c>
      <c r="F20" s="453" t="e">
        <f t="shared" si="1"/>
        <v>#DIV/0!</v>
      </c>
    </row>
    <row r="21" spans="1:6" x14ac:dyDescent="0.25">
      <c r="A21" s="244"/>
      <c r="B21" s="115"/>
      <c r="C21" s="454"/>
      <c r="D21" s="202"/>
      <c r="E21" s="494" t="e">
        <f t="shared" si="0"/>
        <v>#DIV/0!</v>
      </c>
      <c r="F21" s="453" t="e">
        <f t="shared" si="1"/>
        <v>#DIV/0!</v>
      </c>
    </row>
    <row r="22" spans="1:6" x14ac:dyDescent="0.25">
      <c r="A22" s="244"/>
      <c r="B22" s="115"/>
      <c r="C22" s="454"/>
      <c r="D22" s="202"/>
      <c r="E22" s="494" t="e">
        <f t="shared" si="0"/>
        <v>#DIV/0!</v>
      </c>
      <c r="F22" s="453" t="e">
        <f t="shared" si="1"/>
        <v>#DIV/0!</v>
      </c>
    </row>
    <row r="23" spans="1:6" x14ac:dyDescent="0.25">
      <c r="A23" s="244"/>
      <c r="B23" s="115"/>
      <c r="C23" s="454"/>
      <c r="D23" s="202"/>
      <c r="E23" s="494" t="e">
        <f t="shared" si="0"/>
        <v>#DIV/0!</v>
      </c>
      <c r="F23" s="453" t="e">
        <f t="shared" si="1"/>
        <v>#DIV/0!</v>
      </c>
    </row>
    <row r="24" spans="1:6" x14ac:dyDescent="0.25">
      <c r="A24" s="244"/>
      <c r="B24" s="115"/>
      <c r="C24" s="454"/>
      <c r="D24" s="202"/>
      <c r="E24" s="494" t="e">
        <f t="shared" si="0"/>
        <v>#DIV/0!</v>
      </c>
      <c r="F24" s="453" t="e">
        <f t="shared" si="1"/>
        <v>#DIV/0!</v>
      </c>
    </row>
    <row r="25" spans="1:6" x14ac:dyDescent="0.25">
      <c r="A25" s="244"/>
      <c r="B25" s="115"/>
      <c r="C25" s="454"/>
      <c r="D25" s="202"/>
      <c r="E25" s="494" t="e">
        <f t="shared" si="0"/>
        <v>#DIV/0!</v>
      </c>
      <c r="F25" s="453" t="e">
        <f t="shared" si="1"/>
        <v>#DIV/0!</v>
      </c>
    </row>
    <row r="26" spans="1:6" x14ac:dyDescent="0.25">
      <c r="A26" s="244"/>
      <c r="B26" s="115"/>
      <c r="C26" s="454"/>
      <c r="D26" s="202"/>
      <c r="E26" s="494" t="e">
        <f t="shared" si="0"/>
        <v>#DIV/0!</v>
      </c>
      <c r="F26" s="453" t="e">
        <f t="shared" si="1"/>
        <v>#DIV/0!</v>
      </c>
    </row>
    <row r="27" spans="1:6" x14ac:dyDescent="0.25">
      <c r="A27" s="244"/>
      <c r="B27" s="115"/>
      <c r="C27" s="454"/>
      <c r="D27" s="202"/>
      <c r="E27" s="494" t="e">
        <f t="shared" si="0"/>
        <v>#DIV/0!</v>
      </c>
      <c r="F27" s="453" t="e">
        <f t="shared" si="1"/>
        <v>#DIV/0!</v>
      </c>
    </row>
    <row r="28" spans="1:6" x14ac:dyDescent="0.25">
      <c r="A28" s="244"/>
      <c r="B28" s="115"/>
      <c r="C28" s="454"/>
      <c r="D28" s="202"/>
      <c r="E28" s="494" t="e">
        <f t="shared" si="0"/>
        <v>#DIV/0!</v>
      </c>
      <c r="F28" s="453" t="e">
        <f t="shared" si="1"/>
        <v>#DIV/0!</v>
      </c>
    </row>
    <row r="29" spans="1:6" x14ac:dyDescent="0.25">
      <c r="A29" s="244"/>
      <c r="B29" s="115"/>
      <c r="C29" s="454"/>
      <c r="D29" s="202"/>
      <c r="E29" s="494" t="e">
        <f t="shared" si="0"/>
        <v>#DIV/0!</v>
      </c>
      <c r="F29" s="453" t="e">
        <f t="shared" si="1"/>
        <v>#DIV/0!</v>
      </c>
    </row>
    <row r="30" spans="1:6" x14ac:dyDescent="0.25">
      <c r="A30" s="244"/>
      <c r="B30" s="115"/>
      <c r="C30" s="454"/>
      <c r="D30" s="202"/>
      <c r="E30" s="494" t="e">
        <f t="shared" si="0"/>
        <v>#DIV/0!</v>
      </c>
      <c r="F30" s="453" t="e">
        <f t="shared" si="1"/>
        <v>#DIV/0!</v>
      </c>
    </row>
    <row r="31" spans="1:6" x14ac:dyDescent="0.25">
      <c r="A31" s="244"/>
      <c r="B31" s="115"/>
      <c r="C31" s="454"/>
      <c r="D31" s="202"/>
      <c r="E31" s="494" t="e">
        <f t="shared" si="0"/>
        <v>#DIV/0!</v>
      </c>
      <c r="F31" s="453" t="e">
        <f t="shared" si="1"/>
        <v>#DIV/0!</v>
      </c>
    </row>
    <row r="32" spans="1:6" x14ac:dyDescent="0.25">
      <c r="A32" s="244"/>
      <c r="B32" s="115"/>
      <c r="C32" s="454"/>
      <c r="D32" s="202"/>
      <c r="E32" s="494" t="e">
        <f t="shared" si="0"/>
        <v>#DIV/0!</v>
      </c>
      <c r="F32" s="453" t="e">
        <f t="shared" si="1"/>
        <v>#DIV/0!</v>
      </c>
    </row>
    <row r="33" spans="1:6" x14ac:dyDescent="0.25">
      <c r="A33" s="244"/>
      <c r="B33" s="115"/>
      <c r="C33" s="454"/>
      <c r="D33" s="202"/>
      <c r="E33" s="494" t="e">
        <f t="shared" si="0"/>
        <v>#DIV/0!</v>
      </c>
      <c r="F33" s="453" t="e">
        <f t="shared" si="1"/>
        <v>#DIV/0!</v>
      </c>
    </row>
    <row r="34" spans="1:6" x14ac:dyDescent="0.25">
      <c r="A34" s="244"/>
      <c r="B34" s="115"/>
      <c r="C34" s="454"/>
      <c r="D34" s="202"/>
      <c r="E34" s="494" t="e">
        <f t="shared" si="0"/>
        <v>#DIV/0!</v>
      </c>
      <c r="F34" s="453" t="e">
        <f t="shared" si="1"/>
        <v>#DIV/0!</v>
      </c>
    </row>
    <row r="35" spans="1:6" x14ac:dyDescent="0.25">
      <c r="A35" s="244"/>
      <c r="B35" s="115"/>
      <c r="C35" s="454"/>
      <c r="D35" s="202"/>
      <c r="E35" s="494" t="e">
        <f t="shared" si="0"/>
        <v>#DIV/0!</v>
      </c>
      <c r="F35" s="453" t="e">
        <f t="shared" si="1"/>
        <v>#DIV/0!</v>
      </c>
    </row>
    <row r="36" spans="1:6" x14ac:dyDescent="0.25">
      <c r="A36" s="244"/>
      <c r="B36" s="115"/>
      <c r="C36" s="454"/>
      <c r="D36" s="202"/>
      <c r="E36" s="494" t="e">
        <f t="shared" si="0"/>
        <v>#DIV/0!</v>
      </c>
      <c r="F36" s="453" t="e">
        <f t="shared" si="1"/>
        <v>#DIV/0!</v>
      </c>
    </row>
    <row r="37" spans="1:6" x14ac:dyDescent="0.25">
      <c r="A37" s="244"/>
      <c r="B37" s="115"/>
      <c r="C37" s="454"/>
      <c r="D37" s="202"/>
      <c r="E37" s="494" t="e">
        <f t="shared" si="0"/>
        <v>#DIV/0!</v>
      </c>
      <c r="F37" s="453" t="e">
        <f t="shared" si="1"/>
        <v>#DIV/0!</v>
      </c>
    </row>
    <row r="38" spans="1:6" x14ac:dyDescent="0.25">
      <c r="A38" s="244"/>
      <c r="B38" s="115"/>
      <c r="C38" s="454"/>
      <c r="D38" s="202"/>
      <c r="E38" s="494" t="e">
        <f t="shared" si="0"/>
        <v>#DIV/0!</v>
      </c>
      <c r="F38" s="453" t="e">
        <f t="shared" si="1"/>
        <v>#DIV/0!</v>
      </c>
    </row>
    <row r="39" spans="1:6" x14ac:dyDescent="0.25">
      <c r="A39" s="244"/>
      <c r="B39" s="115"/>
      <c r="C39" s="454"/>
      <c r="D39" s="202"/>
      <c r="E39" s="494" t="e">
        <f t="shared" si="0"/>
        <v>#DIV/0!</v>
      </c>
      <c r="F39" s="453" t="e">
        <f t="shared" si="1"/>
        <v>#DIV/0!</v>
      </c>
    </row>
    <row r="40" spans="1:6" x14ac:dyDescent="0.25">
      <c r="A40" s="244"/>
      <c r="B40" s="115"/>
      <c r="C40" s="454"/>
      <c r="D40" s="202"/>
      <c r="E40" s="494" t="e">
        <f t="shared" si="0"/>
        <v>#DIV/0!</v>
      </c>
      <c r="F40" s="453" t="e">
        <f t="shared" si="1"/>
        <v>#DIV/0!</v>
      </c>
    </row>
    <row r="41" spans="1:6" x14ac:dyDescent="0.25">
      <c r="A41" s="244"/>
      <c r="B41" s="115"/>
      <c r="C41" s="454"/>
      <c r="D41" s="202"/>
      <c r="E41" s="494" t="e">
        <f t="shared" si="0"/>
        <v>#DIV/0!</v>
      </c>
      <c r="F41" s="453" t="e">
        <f t="shared" si="1"/>
        <v>#DIV/0!</v>
      </c>
    </row>
    <row r="42" spans="1:6" x14ac:dyDescent="0.25">
      <c r="A42" s="244"/>
      <c r="B42" s="115"/>
      <c r="C42" s="454"/>
      <c r="D42" s="202"/>
      <c r="E42" s="494" t="e">
        <f t="shared" si="0"/>
        <v>#DIV/0!</v>
      </c>
      <c r="F42" s="453" t="e">
        <f t="shared" si="1"/>
        <v>#DIV/0!</v>
      </c>
    </row>
    <row r="43" spans="1:6" x14ac:dyDescent="0.25">
      <c r="A43" s="244"/>
      <c r="B43" s="115"/>
      <c r="C43" s="454"/>
      <c r="D43" s="202"/>
      <c r="E43" s="494" t="e">
        <f t="shared" si="0"/>
        <v>#DIV/0!</v>
      </c>
      <c r="F43" s="453" t="e">
        <f t="shared" si="1"/>
        <v>#DIV/0!</v>
      </c>
    </row>
    <row r="44" spans="1:6" x14ac:dyDescent="0.25">
      <c r="A44" s="244"/>
      <c r="B44" s="115"/>
      <c r="C44" s="454"/>
      <c r="D44" s="202"/>
      <c r="E44" s="494" t="e">
        <f t="shared" si="0"/>
        <v>#DIV/0!</v>
      </c>
      <c r="F44" s="453" t="e">
        <f t="shared" si="1"/>
        <v>#DIV/0!</v>
      </c>
    </row>
    <row r="45" spans="1:6" x14ac:dyDescent="0.25">
      <c r="A45" s="244"/>
      <c r="B45" s="115"/>
      <c r="C45" s="454"/>
      <c r="D45" s="202"/>
      <c r="E45" s="494" t="e">
        <f t="shared" si="0"/>
        <v>#DIV/0!</v>
      </c>
      <c r="F45" s="453" t="e">
        <f t="shared" si="1"/>
        <v>#DIV/0!</v>
      </c>
    </row>
    <row r="46" spans="1:6" x14ac:dyDescent="0.25">
      <c r="A46" s="244"/>
      <c r="B46" s="115"/>
      <c r="C46" s="454"/>
      <c r="D46" s="202"/>
      <c r="E46" s="494" t="e">
        <f t="shared" si="0"/>
        <v>#DIV/0!</v>
      </c>
      <c r="F46" s="453" t="e">
        <f t="shared" si="1"/>
        <v>#DIV/0!</v>
      </c>
    </row>
    <row r="47" spans="1:6" x14ac:dyDescent="0.25">
      <c r="A47" s="244"/>
      <c r="B47" s="115"/>
      <c r="C47" s="454"/>
      <c r="D47" s="202"/>
      <c r="E47" s="494" t="e">
        <f t="shared" si="0"/>
        <v>#DIV/0!</v>
      </c>
      <c r="F47" s="453" t="e">
        <f t="shared" si="1"/>
        <v>#DIV/0!</v>
      </c>
    </row>
    <row r="48" spans="1:6" x14ac:dyDescent="0.25">
      <c r="A48" s="244"/>
      <c r="B48" s="115"/>
      <c r="C48" s="454"/>
      <c r="D48" s="202"/>
      <c r="E48" s="494" t="e">
        <f t="shared" si="0"/>
        <v>#DIV/0!</v>
      </c>
      <c r="F48" s="453" t="e">
        <f t="shared" si="1"/>
        <v>#DIV/0!</v>
      </c>
    </row>
    <row r="49" spans="1:10" x14ac:dyDescent="0.25">
      <c r="A49" s="244"/>
      <c r="B49" s="115"/>
      <c r="C49" s="454"/>
      <c r="D49" s="202"/>
      <c r="E49" s="494" t="e">
        <f t="shared" si="0"/>
        <v>#DIV/0!</v>
      </c>
      <c r="F49" s="453" t="e">
        <f t="shared" si="1"/>
        <v>#DIV/0!</v>
      </c>
    </row>
    <row r="50" spans="1:10" x14ac:dyDescent="0.25">
      <c r="A50" s="244"/>
      <c r="B50" s="115"/>
      <c r="C50" s="454"/>
      <c r="D50" s="202"/>
      <c r="E50" s="494" t="e">
        <f t="shared" si="0"/>
        <v>#DIV/0!</v>
      </c>
      <c r="F50" s="453" t="e">
        <f t="shared" si="1"/>
        <v>#DIV/0!</v>
      </c>
    </row>
    <row r="51" spans="1:10" x14ac:dyDescent="0.25">
      <c r="A51" s="244"/>
      <c r="B51" s="115"/>
      <c r="C51" s="454"/>
      <c r="D51" s="202"/>
      <c r="E51" s="494" t="e">
        <f t="shared" si="0"/>
        <v>#DIV/0!</v>
      </c>
      <c r="F51" s="453" t="e">
        <f t="shared" si="1"/>
        <v>#DIV/0!</v>
      </c>
    </row>
    <row r="52" spans="1:10" x14ac:dyDescent="0.25">
      <c r="A52" s="244"/>
      <c r="B52" s="115"/>
      <c r="C52" s="454"/>
      <c r="D52" s="202"/>
      <c r="E52" s="494" t="e">
        <f t="shared" si="0"/>
        <v>#DIV/0!</v>
      </c>
      <c r="F52" s="453" t="e">
        <f t="shared" si="1"/>
        <v>#DIV/0!</v>
      </c>
    </row>
    <row r="53" spans="1:10" x14ac:dyDescent="0.25">
      <c r="A53" s="244"/>
      <c r="B53" s="115"/>
      <c r="C53" s="454"/>
      <c r="D53" s="202"/>
      <c r="E53" s="494" t="e">
        <f t="shared" si="0"/>
        <v>#DIV/0!</v>
      </c>
      <c r="F53" s="453" t="e">
        <f t="shared" si="1"/>
        <v>#DIV/0!</v>
      </c>
    </row>
    <row r="54" spans="1:10" x14ac:dyDescent="0.25">
      <c r="A54" s="244"/>
      <c r="B54" s="115"/>
      <c r="C54" s="454"/>
      <c r="D54" s="202"/>
      <c r="E54" s="494" t="e">
        <f t="shared" si="0"/>
        <v>#DIV/0!</v>
      </c>
      <c r="F54" s="453" t="e">
        <f t="shared" si="1"/>
        <v>#DIV/0!</v>
      </c>
    </row>
    <row r="55" spans="1:10" x14ac:dyDescent="0.25">
      <c r="A55" s="244"/>
      <c r="B55" s="115"/>
      <c r="C55" s="454"/>
      <c r="D55" s="202"/>
      <c r="E55" s="494" t="e">
        <f t="shared" si="0"/>
        <v>#DIV/0!</v>
      </c>
      <c r="F55" s="453" t="e">
        <f t="shared" si="1"/>
        <v>#DIV/0!</v>
      </c>
    </row>
    <row r="56" spans="1:10" x14ac:dyDescent="0.25">
      <c r="A56" s="495" t="s">
        <v>109</v>
      </c>
      <c r="B56" s="496"/>
      <c r="C56" s="496"/>
      <c r="D56" s="383">
        <f>+SUM(D9:D55)</f>
        <v>0</v>
      </c>
      <c r="E56" s="383" t="e">
        <f>+SUM(E9:E55)</f>
        <v>#DIV/0!</v>
      </c>
      <c r="F56" s="384" t="e">
        <f>+SUM(F9:F55)</f>
        <v>#DIV/0!</v>
      </c>
      <c r="H56" s="107" t="s">
        <v>5</v>
      </c>
      <c r="I56" s="160" t="e">
        <f>+D56-E56-F56</f>
        <v>#DIV/0!</v>
      </c>
    </row>
    <row r="57" spans="1:10" x14ac:dyDescent="0.25">
      <c r="A57" s="115"/>
      <c r="B57" s="115"/>
      <c r="C57" s="451"/>
      <c r="D57" s="467"/>
      <c r="E57" s="468"/>
      <c r="F57" s="468"/>
      <c r="H57" s="381"/>
    </row>
    <row r="58" spans="1:10" s="455" customFormat="1" x14ac:dyDescent="0.25">
      <c r="A58" s="497" t="s">
        <v>288</v>
      </c>
      <c r="B58" s="498"/>
      <c r="C58" s="499"/>
      <c r="D58" s="271"/>
      <c r="E58" s="271"/>
      <c r="F58" s="500"/>
      <c r="H58" s="456"/>
    </row>
    <row r="59" spans="1:10" s="455" customFormat="1" x14ac:dyDescent="0.25">
      <c r="A59" s="501" t="s">
        <v>25</v>
      </c>
      <c r="B59" s="502"/>
      <c r="C59" s="503" t="s">
        <v>156</v>
      </c>
      <c r="D59" s="202"/>
      <c r="E59" s="471"/>
      <c r="F59" s="472"/>
      <c r="H59" s="456"/>
      <c r="I59" s="457"/>
      <c r="J59" s="457"/>
    </row>
    <row r="60" spans="1:10" s="455" customFormat="1" x14ac:dyDescent="0.25">
      <c r="A60" s="501" t="s">
        <v>162</v>
      </c>
      <c r="B60" s="504"/>
      <c r="C60" s="503" t="s">
        <v>156</v>
      </c>
      <c r="D60" s="202"/>
      <c r="E60" s="473"/>
      <c r="F60" s="474"/>
      <c r="H60" s="456"/>
      <c r="I60" s="457"/>
      <c r="J60" s="457"/>
    </row>
    <row r="61" spans="1:10" s="455" customFormat="1" x14ac:dyDescent="0.25">
      <c r="A61" s="505" t="s">
        <v>275</v>
      </c>
      <c r="B61" s="506"/>
      <c r="C61" s="507"/>
      <c r="D61" s="469">
        <f>+D60+D59</f>
        <v>0</v>
      </c>
      <c r="E61" s="475"/>
      <c r="F61" s="476"/>
      <c r="H61" s="456"/>
    </row>
    <row r="62" spans="1:10" s="455" customFormat="1" x14ac:dyDescent="0.25">
      <c r="A62" s="497" t="s">
        <v>283</v>
      </c>
      <c r="B62" s="498"/>
      <c r="C62" s="386"/>
      <c r="D62" s="247">
        <f>+D61/12.5%</f>
        <v>0</v>
      </c>
      <c r="E62" s="247" t="e">
        <f>+D62*$E$8</f>
        <v>#DIV/0!</v>
      </c>
      <c r="F62" s="247" t="e">
        <f>+D62*$F$8</f>
        <v>#DIV/0!</v>
      </c>
      <c r="H62" s="107" t="s">
        <v>5</v>
      </c>
      <c r="I62" s="160" t="e">
        <f>+D62-E62-F62</f>
        <v>#DIV/0!</v>
      </c>
    </row>
    <row r="63" spans="1:10" x14ac:dyDescent="0.25">
      <c r="A63" s="115"/>
      <c r="B63" s="115"/>
      <c r="C63" s="451"/>
      <c r="D63" s="470"/>
      <c r="E63" s="468"/>
      <c r="F63" s="468"/>
      <c r="H63" s="381"/>
    </row>
    <row r="64" spans="1:10" ht="18.75" x14ac:dyDescent="0.3">
      <c r="A64" s="508" t="s">
        <v>9</v>
      </c>
      <c r="B64" s="509"/>
      <c r="C64" s="510"/>
      <c r="D64" s="329">
        <f>D62+D56</f>
        <v>0</v>
      </c>
      <c r="E64" s="329" t="e">
        <f>E62+E56</f>
        <v>#DIV/0!</v>
      </c>
      <c r="F64" s="329" t="e">
        <f>F62+F56</f>
        <v>#DIV/0!</v>
      </c>
      <c r="H64" s="107" t="s">
        <v>5</v>
      </c>
      <c r="I64" s="160" t="e">
        <f>+F64+E64-D64</f>
        <v>#DIV/0!</v>
      </c>
    </row>
    <row r="65" spans="4:6" x14ac:dyDescent="0.25">
      <c r="D65" s="382"/>
      <c r="E65" s="382"/>
      <c r="F65" s="382"/>
    </row>
    <row r="66" spans="4:6" x14ac:dyDescent="0.25">
      <c r="D66" s="382"/>
      <c r="E66" s="382"/>
      <c r="F66" s="382"/>
    </row>
    <row r="67" spans="4:6" x14ac:dyDescent="0.25">
      <c r="D67" s="382"/>
      <c r="E67" s="382"/>
      <c r="F67" s="382"/>
    </row>
    <row r="68" spans="4:6" x14ac:dyDescent="0.25">
      <c r="D68" s="382"/>
      <c r="E68" s="382"/>
      <c r="F68" s="382"/>
    </row>
    <row r="69" spans="4:6" x14ac:dyDescent="0.25">
      <c r="D69" s="382"/>
      <c r="E69" s="382"/>
      <c r="F69" s="382"/>
    </row>
    <row r="70" spans="4:6" x14ac:dyDescent="0.25">
      <c r="D70" s="382"/>
      <c r="E70" s="382"/>
      <c r="F70" s="382"/>
    </row>
    <row r="71" spans="4:6" x14ac:dyDescent="0.25">
      <c r="D71" s="382"/>
      <c r="E71" s="382"/>
      <c r="F71" s="382"/>
    </row>
    <row r="72" spans="4:6" x14ac:dyDescent="0.25">
      <c r="D72" s="382"/>
      <c r="E72" s="382"/>
      <c r="F72" s="382"/>
    </row>
    <row r="73" spans="4:6" x14ac:dyDescent="0.25">
      <c r="D73" s="382"/>
      <c r="E73" s="382"/>
      <c r="F73" s="382"/>
    </row>
    <row r="74" spans="4:6" x14ac:dyDescent="0.25">
      <c r="D74" s="382"/>
      <c r="E74" s="382"/>
      <c r="F74" s="382"/>
    </row>
    <row r="75" spans="4:6" x14ac:dyDescent="0.25">
      <c r="D75" s="382"/>
      <c r="E75" s="382"/>
      <c r="F75" s="382"/>
    </row>
    <row r="76" spans="4:6" x14ac:dyDescent="0.25">
      <c r="D76" s="382"/>
      <c r="E76" s="382"/>
      <c r="F76" s="382"/>
    </row>
    <row r="77" spans="4:6" x14ac:dyDescent="0.25">
      <c r="D77" s="382"/>
      <c r="E77" s="382"/>
      <c r="F77" s="382"/>
    </row>
    <row r="78" spans="4:6" x14ac:dyDescent="0.25">
      <c r="D78" s="382"/>
      <c r="E78" s="382"/>
      <c r="F78" s="382"/>
    </row>
    <row r="79" spans="4:6" x14ac:dyDescent="0.25">
      <c r="D79" s="382"/>
      <c r="E79" s="382"/>
      <c r="F79" s="382"/>
    </row>
    <row r="80" spans="4:6" x14ac:dyDescent="0.25">
      <c r="D80" s="382"/>
      <c r="E80" s="382"/>
      <c r="F80" s="382"/>
    </row>
    <row r="81" spans="4:6" x14ac:dyDescent="0.25">
      <c r="D81" s="382"/>
      <c r="E81" s="382"/>
      <c r="F81" s="382"/>
    </row>
    <row r="82" spans="4:6" x14ac:dyDescent="0.25">
      <c r="D82" s="382"/>
      <c r="E82" s="382"/>
      <c r="F82" s="382"/>
    </row>
    <row r="83" spans="4:6" x14ac:dyDescent="0.25">
      <c r="D83" s="382"/>
      <c r="E83" s="382"/>
      <c r="F83" s="382"/>
    </row>
    <row r="84" spans="4:6" x14ac:dyDescent="0.25">
      <c r="D84" s="382"/>
      <c r="E84" s="382"/>
      <c r="F84" s="382"/>
    </row>
    <row r="85" spans="4:6" x14ac:dyDescent="0.25">
      <c r="D85" s="382"/>
      <c r="E85" s="382"/>
      <c r="F85" s="382"/>
    </row>
    <row r="86" spans="4:6" x14ac:dyDescent="0.25">
      <c r="D86" s="382"/>
      <c r="E86" s="382"/>
      <c r="F86" s="382"/>
    </row>
    <row r="87" spans="4:6" x14ac:dyDescent="0.25">
      <c r="D87" s="382"/>
      <c r="E87" s="382"/>
      <c r="F87" s="382"/>
    </row>
  </sheetData>
  <sheetProtection algorithmName="SHA-512" hashValue="RYCE/Sg7PPKBL6U83vGaDpgLkI6S8wu6THTLwxPNwTbXfRQy6ELUvorOH+fLaWNvgaKp9VimVf+gxUNfFx67Xw==" saltValue="oxt31sArN1JynUytPpFfVA==" spinCount="100000" sheet="1" objects="1" scenarios="1"/>
  <mergeCells count="2">
    <mergeCell ref="A7:C7"/>
    <mergeCell ref="A5:F5"/>
  </mergeCells>
  <conditionalFormatting sqref="I56">
    <cfRule type="expression" dxfId="2" priority="7">
      <formula>OR(I56&lt;-0.0009,I56&gt;0.0009)</formula>
    </cfRule>
  </conditionalFormatting>
  <conditionalFormatting sqref="I62">
    <cfRule type="expression" dxfId="1" priority="2">
      <formula>OR(I62&lt;-0.0009,I62&gt;0.0009)</formula>
    </cfRule>
  </conditionalFormatting>
  <conditionalFormatting sqref="I64">
    <cfRule type="expression" dxfId="0" priority="5">
      <formula>OR(I64&lt;-0.0009,I64&gt;0.0009)</formula>
    </cfRule>
  </conditionalFormatting>
  <pageMargins left="0.7" right="0.7" top="0.78740157499999996" bottom="0.78740157499999996" header="0.3" footer="0.3"/>
  <pageSetup paperSize="9" scale="67" orientation="portrait" r:id="rId1"/>
  <colBreaks count="1" manualBreakCount="1">
    <brk id="6" max="1048575" man="1"/>
  </colBreaks>
  <ignoredErrors>
    <ignoredError sqref="G9"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 id="{43A0CD09-40D2-47D6-8545-6188FC3A151A}">
            <xm:f>+'D Ausstatt.'!$D$14="x"</xm:f>
            <x14:dxf>
              <fill>
                <patternFill>
                  <bgColor rgb="FFFFFF99"/>
                </patternFill>
              </fill>
            </x14:dxf>
          </x14:cfRule>
          <xm:sqref>A9:D55</xm:sqref>
        </x14:conditionalFormatting>
        <x14:conditionalFormatting xmlns:xm="http://schemas.microsoft.com/office/excel/2006/main">
          <x14:cfRule type="expression" priority="3" id="{C0DA1F30-9315-4686-9513-25210DE22998}">
            <xm:f>+'D Ausstatt.'!$D$14="x"</xm:f>
            <x14:dxf>
              <fill>
                <patternFill>
                  <bgColor rgb="FFFFFF99"/>
                </patternFill>
              </fill>
            </x14:dxf>
          </x14:cfRule>
          <xm:sqref>D59:D60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9"/>
  <sheetViews>
    <sheetView zoomScaleNormal="100" workbookViewId="0">
      <selection activeCell="B15" sqref="B15"/>
    </sheetView>
  </sheetViews>
  <sheetFormatPr baseColWidth="10" defaultColWidth="11.42578125" defaultRowHeight="15" x14ac:dyDescent="0.25"/>
  <cols>
    <col min="1" max="1" width="22.7109375" style="60" customWidth="1"/>
    <col min="2" max="2" width="19.7109375" style="441" customWidth="1"/>
    <col min="3" max="3" width="13" style="60" customWidth="1"/>
    <col min="4" max="4" width="12.7109375" style="60" customWidth="1"/>
    <col min="5" max="5" width="15.42578125" style="60" customWidth="1"/>
    <col min="6" max="6" width="11.42578125" style="60"/>
    <col min="7" max="7" width="14.5703125" style="60" hidden="1" customWidth="1"/>
    <col min="8" max="9" width="12.140625" style="60" hidden="1" customWidth="1"/>
    <col min="10" max="10" width="14.5703125" style="60" hidden="1" customWidth="1"/>
    <col min="11" max="16384" width="11.42578125" style="60"/>
  </cols>
  <sheetData>
    <row r="1" spans="1:10" ht="26.25" x14ac:dyDescent="0.4">
      <c r="A1" s="523" t="s">
        <v>287</v>
      </c>
      <c r="B1" s="555"/>
      <c r="C1" s="555"/>
      <c r="D1" s="555"/>
      <c r="E1" s="556"/>
    </row>
    <row r="2" spans="1:10" ht="26.25" x14ac:dyDescent="0.4">
      <c r="A2" s="557" t="s">
        <v>310</v>
      </c>
      <c r="B2" s="558"/>
      <c r="C2" s="558"/>
      <c r="D2" s="559"/>
      <c r="E2" s="836" t="str">
        <f>+Stammdaten!D2</f>
        <v>Version 2.0</v>
      </c>
    </row>
    <row r="3" spans="1:10" x14ac:dyDescent="0.25">
      <c r="A3" s="361">
        <f>+Stammdaten!B5</f>
        <v>0</v>
      </c>
      <c r="B3" s="282">
        <f>+Stammdaten!B3</f>
        <v>0</v>
      </c>
      <c r="C3" s="448"/>
      <c r="D3" s="526" t="s">
        <v>36</v>
      </c>
      <c r="E3" s="527"/>
    </row>
    <row r="4" spans="1:10" ht="18.75" x14ac:dyDescent="0.3">
      <c r="A4" s="66"/>
      <c r="B4" s="316"/>
      <c r="C4" s="62"/>
      <c r="D4" s="62"/>
      <c r="E4" s="63"/>
      <c r="G4" s="89" t="s">
        <v>311</v>
      </c>
      <c r="H4" s="614"/>
      <c r="I4" s="614"/>
      <c r="J4" s="861"/>
    </row>
    <row r="5" spans="1:10" ht="75.75" thickBot="1" x14ac:dyDescent="0.3">
      <c r="A5" s="960" t="s">
        <v>303</v>
      </c>
      <c r="B5" s="834" t="s">
        <v>323</v>
      </c>
      <c r="C5" s="835" t="s">
        <v>315</v>
      </c>
      <c r="D5" s="835" t="s">
        <v>343</v>
      </c>
      <c r="E5" s="63"/>
      <c r="G5" s="862" t="s">
        <v>314</v>
      </c>
      <c r="H5" s="862" t="s">
        <v>309</v>
      </c>
      <c r="I5" s="862" t="s">
        <v>316</v>
      </c>
      <c r="J5" s="862" t="s">
        <v>313</v>
      </c>
    </row>
    <row r="6" spans="1:10" hidden="1" x14ac:dyDescent="0.25">
      <c r="A6" s="961">
        <v>2017</v>
      </c>
      <c r="B6" s="962"/>
      <c r="C6" s="446">
        <v>284.63</v>
      </c>
      <c r="D6" s="446"/>
      <c r="E6" s="63"/>
      <c r="G6" s="863">
        <v>2022</v>
      </c>
      <c r="H6" s="863">
        <v>2023</v>
      </c>
      <c r="I6" s="863" t="str">
        <f>+G6&amp;H6</f>
        <v>20222023</v>
      </c>
      <c r="J6" s="864">
        <f>(1+$B$12)</f>
        <v>1.0589999999999999</v>
      </c>
    </row>
    <row r="7" spans="1:10" hidden="1" x14ac:dyDescent="0.25">
      <c r="A7" s="961">
        <v>2018</v>
      </c>
      <c r="B7" s="963">
        <v>1.9E-2</v>
      </c>
      <c r="C7" s="446">
        <f t="shared" ref="C7:C8" si="0">+C6*(1+B7)</f>
        <v>290.03796999999997</v>
      </c>
      <c r="D7" s="446"/>
      <c r="E7" s="63"/>
      <c r="G7" s="865">
        <v>2022</v>
      </c>
      <c r="H7" s="865">
        <v>2024</v>
      </c>
      <c r="I7" s="865" t="str">
        <f t="shared" ref="I7:I30" si="1">+G7&amp;H7</f>
        <v>20222024</v>
      </c>
      <c r="J7" s="866">
        <f>+J6*(1+$B$13)</f>
        <v>1.088652</v>
      </c>
    </row>
    <row r="8" spans="1:10" hidden="1" x14ac:dyDescent="0.25">
      <c r="A8" s="961">
        <v>2019</v>
      </c>
      <c r="B8" s="963">
        <v>1.4E-2</v>
      </c>
      <c r="C8" s="446">
        <f t="shared" si="0"/>
        <v>294.09850158</v>
      </c>
      <c r="D8" s="446"/>
      <c r="E8" s="63"/>
      <c r="G8" s="865">
        <v>2022</v>
      </c>
      <c r="H8" s="865">
        <v>2025</v>
      </c>
      <c r="I8" s="863" t="str">
        <f t="shared" si="1"/>
        <v>20222025</v>
      </c>
      <c r="J8" s="866">
        <f>+J7*(1+$B$14)</f>
        <v>1.088652</v>
      </c>
    </row>
    <row r="9" spans="1:10" hidden="1" x14ac:dyDescent="0.25">
      <c r="A9" s="961">
        <v>2020</v>
      </c>
      <c r="B9" s="963">
        <v>5.0000000000000001E-3</v>
      </c>
      <c r="C9" s="446">
        <f>+C8*(1+B9)</f>
        <v>295.56899408789997</v>
      </c>
      <c r="D9" s="446"/>
      <c r="E9" s="63"/>
      <c r="G9" s="865">
        <v>2022</v>
      </c>
      <c r="H9" s="865">
        <v>2026</v>
      </c>
      <c r="I9" s="863" t="str">
        <f t="shared" si="1"/>
        <v>20222026</v>
      </c>
      <c r="J9" s="866">
        <f>+J8*(1+$B$15)</f>
        <v>1.088652</v>
      </c>
    </row>
    <row r="10" spans="1:10" ht="15.75" hidden="1" thickBot="1" x14ac:dyDescent="0.3">
      <c r="A10" s="961">
        <v>2021</v>
      </c>
      <c r="B10" s="963">
        <v>3.1E-2</v>
      </c>
      <c r="C10" s="446">
        <f t="shared" ref="C10:C13" si="2">+C9*(1+B10)</f>
        <v>304.73163290462486</v>
      </c>
      <c r="D10" s="446"/>
      <c r="E10" s="63"/>
      <c r="G10" s="867">
        <v>2022</v>
      </c>
      <c r="H10" s="867">
        <v>2027</v>
      </c>
      <c r="I10" s="868" t="str">
        <f t="shared" si="1"/>
        <v>20222027</v>
      </c>
      <c r="J10" s="869">
        <f>+J9*(1+$B$16)</f>
        <v>1.088652</v>
      </c>
    </row>
    <row r="11" spans="1:10" hidden="1" x14ac:dyDescent="0.25">
      <c r="A11" s="961">
        <v>2022</v>
      </c>
      <c r="B11" s="963">
        <v>6.9000000000000006E-2</v>
      </c>
      <c r="C11" s="446">
        <f t="shared" si="2"/>
        <v>325.75811557504397</v>
      </c>
      <c r="D11" s="446"/>
      <c r="E11" s="63"/>
      <c r="F11" s="798"/>
      <c r="G11" s="863">
        <v>2023</v>
      </c>
      <c r="H11" s="863">
        <v>2024</v>
      </c>
      <c r="I11" s="863" t="str">
        <f>+G11&amp;H11</f>
        <v>20232024</v>
      </c>
      <c r="J11" s="864">
        <f>(1+$B$13)</f>
        <v>1.028</v>
      </c>
    </row>
    <row r="12" spans="1:10" x14ac:dyDescent="0.25">
      <c r="A12" s="961">
        <v>2023</v>
      </c>
      <c r="B12" s="963">
        <v>5.8999999999999997E-2</v>
      </c>
      <c r="C12" s="446">
        <f>+C11*(1+B12)</f>
        <v>344.97784439397157</v>
      </c>
      <c r="D12" s="446">
        <v>6000</v>
      </c>
      <c r="E12" s="63"/>
      <c r="G12" s="865">
        <v>2023</v>
      </c>
      <c r="H12" s="865">
        <v>2025</v>
      </c>
      <c r="I12" s="865" t="str">
        <f t="shared" si="1"/>
        <v>20232025</v>
      </c>
      <c r="J12" s="866">
        <f>J11*(1+$B$14)</f>
        <v>1.028</v>
      </c>
    </row>
    <row r="13" spans="1:10" x14ac:dyDescent="0.25">
      <c r="A13" s="961">
        <v>2024</v>
      </c>
      <c r="B13" s="925">
        <v>2.8000000000000001E-2</v>
      </c>
      <c r="C13" s="446">
        <f t="shared" si="2"/>
        <v>354.6372240370028</v>
      </c>
      <c r="D13" s="446">
        <v>6000</v>
      </c>
      <c r="E13" s="63"/>
      <c r="G13" s="865">
        <v>2023</v>
      </c>
      <c r="H13" s="865">
        <v>2026</v>
      </c>
      <c r="I13" s="863" t="str">
        <f t="shared" si="1"/>
        <v>20232026</v>
      </c>
      <c r="J13" s="866">
        <f>J12*(1+$B$15)</f>
        <v>1.028</v>
      </c>
    </row>
    <row r="14" spans="1:10" x14ac:dyDescent="0.25">
      <c r="A14" s="961">
        <v>2025</v>
      </c>
      <c r="B14" s="925"/>
      <c r="C14" s="446">
        <f t="shared" ref="C14:C17" si="3">+C13*(1+B14)</f>
        <v>354.6372240370028</v>
      </c>
      <c r="D14" s="446">
        <v>7235</v>
      </c>
      <c r="E14" s="63"/>
      <c r="G14" s="865">
        <v>2023</v>
      </c>
      <c r="H14" s="865">
        <v>2027</v>
      </c>
      <c r="I14" s="863" t="str">
        <f t="shared" si="1"/>
        <v>20232027</v>
      </c>
      <c r="J14" s="866">
        <f>J13*(1+$B$16)</f>
        <v>1.028</v>
      </c>
    </row>
    <row r="15" spans="1:10" ht="15.75" thickBot="1" x14ac:dyDescent="0.3">
      <c r="A15" s="961">
        <v>2026</v>
      </c>
      <c r="B15" s="925"/>
      <c r="C15" s="446">
        <f>+C14*(1+B15)</f>
        <v>354.6372240370028</v>
      </c>
      <c r="D15" s="446">
        <f>ROUND(D14*(1+B15),0)</f>
        <v>7235</v>
      </c>
      <c r="E15" s="63"/>
      <c r="G15" s="867">
        <v>2023</v>
      </c>
      <c r="H15" s="867">
        <v>2028</v>
      </c>
      <c r="I15" s="868" t="str">
        <f t="shared" si="1"/>
        <v>20232028</v>
      </c>
      <c r="J15" s="869">
        <f>J14*(1+$B$17)</f>
        <v>1.028</v>
      </c>
    </row>
    <row r="16" spans="1:10" x14ac:dyDescent="0.25">
      <c r="A16" s="961">
        <v>2027</v>
      </c>
      <c r="B16" s="925"/>
      <c r="C16" s="446">
        <f t="shared" si="3"/>
        <v>354.6372240370028</v>
      </c>
      <c r="D16" s="446">
        <f t="shared" ref="D16:D19" si="4">ROUND(D15*(1+B16),0)</f>
        <v>7235</v>
      </c>
      <c r="E16" s="63"/>
      <c r="G16" s="863">
        <v>2024</v>
      </c>
      <c r="H16" s="863">
        <v>2025</v>
      </c>
      <c r="I16" s="863" t="str">
        <f>+G16&amp;H16</f>
        <v>20242025</v>
      </c>
      <c r="J16" s="864">
        <f>(1+$B$14)</f>
        <v>1</v>
      </c>
    </row>
    <row r="17" spans="1:10" x14ac:dyDescent="0.25">
      <c r="A17" s="961">
        <v>2028</v>
      </c>
      <c r="B17" s="925"/>
      <c r="C17" s="446">
        <f t="shared" si="3"/>
        <v>354.6372240370028</v>
      </c>
      <c r="D17" s="446">
        <f t="shared" si="4"/>
        <v>7235</v>
      </c>
      <c r="E17" s="63"/>
      <c r="G17" s="865">
        <v>2024</v>
      </c>
      <c r="H17" s="865">
        <v>2026</v>
      </c>
      <c r="I17" s="865" t="str">
        <f t="shared" si="1"/>
        <v>20242026</v>
      </c>
      <c r="J17" s="866">
        <f>J16*(1+$B$15)</f>
        <v>1</v>
      </c>
    </row>
    <row r="18" spans="1:10" x14ac:dyDescent="0.25">
      <c r="A18" s="961">
        <v>2029</v>
      </c>
      <c r="B18" s="925"/>
      <c r="C18" s="446">
        <f t="shared" ref="C18:C19" si="5">+C17*(1+B18)</f>
        <v>354.6372240370028</v>
      </c>
      <c r="D18" s="446">
        <f t="shared" si="4"/>
        <v>7235</v>
      </c>
      <c r="E18" s="63"/>
      <c r="G18" s="865">
        <v>2024</v>
      </c>
      <c r="H18" s="865">
        <v>2027</v>
      </c>
      <c r="I18" s="863" t="str">
        <f t="shared" si="1"/>
        <v>20242027</v>
      </c>
      <c r="J18" s="866">
        <f>J17*(1+$B$16)</f>
        <v>1</v>
      </c>
    </row>
    <row r="19" spans="1:10" ht="15.75" thickBot="1" x14ac:dyDescent="0.3">
      <c r="A19" s="961">
        <v>2030</v>
      </c>
      <c r="B19" s="925"/>
      <c r="C19" s="446">
        <f t="shared" si="5"/>
        <v>354.6372240370028</v>
      </c>
      <c r="D19" s="446">
        <f t="shared" si="4"/>
        <v>7235</v>
      </c>
      <c r="E19" s="63"/>
      <c r="G19" s="865">
        <v>2024</v>
      </c>
      <c r="H19" s="865">
        <v>2028</v>
      </c>
      <c r="I19" s="863" t="str">
        <f t="shared" si="1"/>
        <v>20242028</v>
      </c>
      <c r="J19" s="866">
        <f>J18*(1+$B$17)</f>
        <v>1</v>
      </c>
    </row>
    <row r="20" spans="1:10" ht="15.75" thickBot="1" x14ac:dyDescent="0.3">
      <c r="A20" s="66"/>
      <c r="B20" s="316"/>
      <c r="C20" s="447">
        <f>+C19</f>
        <v>354.6372240370028</v>
      </c>
      <c r="D20" s="447">
        <f>+D19</f>
        <v>7235</v>
      </c>
      <c r="E20" s="63"/>
      <c r="G20" s="867">
        <v>2024</v>
      </c>
      <c r="H20" s="867">
        <v>2029</v>
      </c>
      <c r="I20" s="868" t="str">
        <f t="shared" si="1"/>
        <v>20242029</v>
      </c>
      <c r="J20" s="869">
        <f>J19*(1+$B$18)</f>
        <v>1</v>
      </c>
    </row>
    <row r="21" spans="1:10" x14ac:dyDescent="0.25">
      <c r="A21" s="66"/>
      <c r="B21" s="316"/>
      <c r="C21" s="910" t="s">
        <v>146</v>
      </c>
      <c r="D21" s="911" t="s">
        <v>146</v>
      </c>
      <c r="E21" s="63"/>
      <c r="G21" s="863">
        <v>2025</v>
      </c>
      <c r="H21" s="865">
        <v>2026</v>
      </c>
      <c r="I21" s="863" t="str">
        <f>+G21&amp;H21</f>
        <v>20252026</v>
      </c>
      <c r="J21" s="864">
        <f>(1+$B$15)</f>
        <v>1</v>
      </c>
    </row>
    <row r="22" spans="1:10" ht="15.75" thickBot="1" x14ac:dyDescent="0.3">
      <c r="A22" s="822"/>
      <c r="B22" s="823"/>
      <c r="C22" s="824"/>
      <c r="D22" s="824"/>
      <c r="E22" s="825"/>
      <c r="G22" s="863">
        <v>2025</v>
      </c>
      <c r="H22" s="865">
        <v>2027</v>
      </c>
      <c r="I22" s="865" t="str">
        <f t="shared" si="1"/>
        <v>20252027</v>
      </c>
      <c r="J22" s="866">
        <f>J21*(1+$B$16)</f>
        <v>1</v>
      </c>
    </row>
    <row r="23" spans="1:10" x14ac:dyDescent="0.25">
      <c r="A23" s="826" t="s">
        <v>344</v>
      </c>
      <c r="B23" s="827"/>
      <c r="C23" s="828"/>
      <c r="D23" s="828"/>
      <c r="E23" s="829"/>
      <c r="G23" s="863">
        <v>2025</v>
      </c>
      <c r="H23" s="865">
        <v>2028</v>
      </c>
      <c r="I23" s="863" t="str">
        <f t="shared" si="1"/>
        <v>20252028</v>
      </c>
      <c r="J23" s="866">
        <f>J22*(1+$B$17)</f>
        <v>1</v>
      </c>
    </row>
    <row r="24" spans="1:10" x14ac:dyDescent="0.25">
      <c r="A24" s="826" t="s">
        <v>346</v>
      </c>
      <c r="B24" s="827"/>
      <c r="C24" s="828"/>
      <c r="D24" s="828"/>
      <c r="E24" s="829"/>
      <c r="G24" s="863">
        <v>2025</v>
      </c>
      <c r="H24" s="865">
        <v>2029</v>
      </c>
      <c r="I24" s="863" t="str">
        <f t="shared" si="1"/>
        <v>20252029</v>
      </c>
      <c r="J24" s="866">
        <f>J23*(1+$B$18)</f>
        <v>1</v>
      </c>
    </row>
    <row r="25" spans="1:10" ht="15.75" thickBot="1" x14ac:dyDescent="0.3">
      <c r="A25" s="826" t="s">
        <v>345</v>
      </c>
      <c r="B25" s="827"/>
      <c r="C25" s="828"/>
      <c r="D25" s="828"/>
      <c r="E25" s="829"/>
      <c r="G25" s="867">
        <v>2025</v>
      </c>
      <c r="H25" s="867">
        <v>2030</v>
      </c>
      <c r="I25" s="868" t="str">
        <f t="shared" si="1"/>
        <v>20252030</v>
      </c>
      <c r="J25" s="869">
        <f>J24*(1+$B$19)</f>
        <v>1</v>
      </c>
    </row>
    <row r="26" spans="1:10" ht="15.75" thickBot="1" x14ac:dyDescent="0.3">
      <c r="A26" s="830" t="s">
        <v>327</v>
      </c>
      <c r="B26" s="831"/>
      <c r="C26" s="832"/>
      <c r="D26" s="832"/>
      <c r="E26" s="833"/>
      <c r="G26" s="863">
        <v>2026</v>
      </c>
      <c r="H26" s="865">
        <v>2027</v>
      </c>
      <c r="I26" s="863" t="str">
        <f>+G26&amp;H26</f>
        <v>20262027</v>
      </c>
      <c r="J26" s="864">
        <f>(1+$B$16)</f>
        <v>1</v>
      </c>
    </row>
    <row r="27" spans="1:10" ht="15.75" thickBot="1" x14ac:dyDescent="0.3">
      <c r="A27" s="913"/>
      <c r="B27" s="914"/>
      <c r="C27" s="915"/>
      <c r="D27" s="915"/>
      <c r="E27" s="916"/>
      <c r="G27" s="863">
        <v>2026</v>
      </c>
      <c r="H27" s="865">
        <v>2028</v>
      </c>
      <c r="I27" s="865" t="str">
        <f t="shared" si="1"/>
        <v>20262028</v>
      </c>
      <c r="J27" s="866">
        <f>J26*(1+$B$17)</f>
        <v>1</v>
      </c>
    </row>
    <row r="28" spans="1:10" x14ac:dyDescent="0.25">
      <c r="A28" s="965" t="s">
        <v>371</v>
      </c>
      <c r="B28" s="966"/>
      <c r="C28" s="964"/>
      <c r="D28" s="964"/>
      <c r="E28" s="967"/>
      <c r="G28" s="863">
        <v>2026</v>
      </c>
      <c r="H28" s="865">
        <v>2029</v>
      </c>
      <c r="I28" s="863" t="str">
        <f t="shared" si="1"/>
        <v>20262029</v>
      </c>
      <c r="J28" s="866">
        <f>J27*(1+$B$18)</f>
        <v>1</v>
      </c>
    </row>
    <row r="29" spans="1:10" ht="15.75" thickBot="1" x14ac:dyDescent="0.3">
      <c r="A29" s="965" t="s">
        <v>347</v>
      </c>
      <c r="B29" s="966"/>
      <c r="C29" s="964"/>
      <c r="D29" s="964"/>
      <c r="E29" s="967"/>
      <c r="G29" s="868">
        <v>2026</v>
      </c>
      <c r="H29" s="867">
        <v>2030</v>
      </c>
      <c r="I29" s="867" t="str">
        <f t="shared" si="1"/>
        <v>20262030</v>
      </c>
      <c r="J29" s="869">
        <f>J28*(1+$B$19)</f>
        <v>1</v>
      </c>
    </row>
    <row r="30" spans="1:10" ht="15.75" thickBot="1" x14ac:dyDescent="0.3">
      <c r="A30" s="968" t="s">
        <v>348</v>
      </c>
      <c r="B30" s="969"/>
      <c r="C30" s="611"/>
      <c r="D30" s="611"/>
      <c r="E30" s="970"/>
      <c r="G30" s="865">
        <v>2027</v>
      </c>
      <c r="H30" s="865">
        <v>2028</v>
      </c>
      <c r="I30" s="863" t="str">
        <f t="shared" si="1"/>
        <v>20272028</v>
      </c>
      <c r="J30" s="864">
        <f>(1+$B$17)</f>
        <v>1</v>
      </c>
    </row>
    <row r="31" spans="1:10" x14ac:dyDescent="0.25">
      <c r="A31" s="66"/>
      <c r="B31" s="316"/>
      <c r="C31" s="62"/>
      <c r="D31" s="62"/>
      <c r="E31" s="63"/>
      <c r="G31" s="863">
        <v>2027</v>
      </c>
      <c r="H31" s="865">
        <v>2029</v>
      </c>
      <c r="I31" s="863" t="str">
        <f t="shared" ref="I31" si="6">+G31&amp;H31</f>
        <v>20272029</v>
      </c>
      <c r="J31" s="866">
        <f>J30*(1+$B$18)</f>
        <v>1</v>
      </c>
    </row>
    <row r="32" spans="1:10" ht="15.75" thickBot="1" x14ac:dyDescent="0.3">
      <c r="A32" s="66"/>
      <c r="B32" s="316"/>
      <c r="C32" s="62"/>
      <c r="D32" s="62"/>
      <c r="E32" s="63"/>
      <c r="G32" s="867">
        <v>2027</v>
      </c>
      <c r="H32" s="867">
        <v>2030</v>
      </c>
      <c r="I32" s="867" t="str">
        <f>+G32&amp;H32</f>
        <v>20272030</v>
      </c>
      <c r="J32" s="869">
        <f>J31*(1+$B$19)</f>
        <v>1</v>
      </c>
    </row>
    <row r="33" spans="1:10" x14ac:dyDescent="0.25">
      <c r="A33" s="66"/>
      <c r="B33" s="316"/>
      <c r="C33" s="62"/>
      <c r="D33" s="62"/>
      <c r="E33" s="63"/>
      <c r="G33" s="863">
        <v>2028</v>
      </c>
      <c r="H33" s="863">
        <v>2029</v>
      </c>
      <c r="I33" s="863" t="str">
        <f>+G33&amp;H33</f>
        <v>20282029</v>
      </c>
      <c r="J33" s="864">
        <f>(1+$B$18)</f>
        <v>1</v>
      </c>
    </row>
    <row r="34" spans="1:10" ht="15.75" thickBot="1" x14ac:dyDescent="0.3">
      <c r="A34" s="66"/>
      <c r="B34" s="316"/>
      <c r="C34" s="62"/>
      <c r="D34" s="62"/>
      <c r="E34" s="63"/>
      <c r="G34" s="867">
        <v>2028</v>
      </c>
      <c r="H34" s="867">
        <v>2030</v>
      </c>
      <c r="I34" s="867" t="str">
        <f>+G34&amp;H34</f>
        <v>20282030</v>
      </c>
      <c r="J34" s="869">
        <f>J33*(1+$B$19)</f>
        <v>1</v>
      </c>
    </row>
    <row r="35" spans="1:10" ht="15.75" thickBot="1" x14ac:dyDescent="0.3">
      <c r="A35" s="66"/>
      <c r="B35" s="316"/>
      <c r="C35" s="62"/>
      <c r="D35" s="62"/>
      <c r="E35" s="63"/>
      <c r="G35" s="870">
        <v>2029</v>
      </c>
      <c r="H35" s="870">
        <v>2030</v>
      </c>
      <c r="I35" s="868" t="str">
        <f>+G35&amp;H35</f>
        <v>20292030</v>
      </c>
      <c r="J35" s="871">
        <f>(1+$B$19)</f>
        <v>1</v>
      </c>
    </row>
    <row r="36" spans="1:10" x14ac:dyDescent="0.25">
      <c r="A36" s="66"/>
      <c r="B36" s="316"/>
      <c r="C36" s="62"/>
      <c r="D36" s="62"/>
      <c r="E36" s="63"/>
    </row>
    <row r="37" spans="1:10" x14ac:dyDescent="0.25">
      <c r="A37" s="66"/>
      <c r="B37" s="316"/>
      <c r="C37" s="62"/>
      <c r="D37" s="62"/>
      <c r="E37" s="63"/>
    </row>
    <row r="38" spans="1:10" x14ac:dyDescent="0.25">
      <c r="A38" s="66"/>
      <c r="B38" s="316"/>
      <c r="C38" s="62"/>
      <c r="D38" s="62"/>
      <c r="E38" s="63"/>
    </row>
    <row r="39" spans="1:10" x14ac:dyDescent="0.25">
      <c r="A39" s="442"/>
      <c r="B39" s="443"/>
      <c r="C39" s="444"/>
      <c r="D39" s="444"/>
      <c r="E39" s="445"/>
    </row>
  </sheetData>
  <sheetProtection algorithmName="SHA-512" hashValue="vDrJkCuTf8B8nnODdgL5cAi4jkFoiifhnQNgEC8xtabuXem62xKdWWxK4rWzjqE7WI+grjUvMWOOAU5HKKgZcw==" saltValue="rXlM8x53OMK7wjsUMr8xaA=="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J51"/>
  <sheetViews>
    <sheetView zoomScaleNormal="100" workbookViewId="0">
      <selection activeCell="A5" sqref="A5"/>
    </sheetView>
  </sheetViews>
  <sheetFormatPr baseColWidth="10" defaultColWidth="11.42578125" defaultRowHeight="15" x14ac:dyDescent="0.25"/>
  <cols>
    <col min="1" max="1" width="42.5703125" style="60" customWidth="1"/>
    <col min="2" max="2" width="22" style="60" customWidth="1"/>
    <col min="3" max="3" width="21.85546875" style="60" customWidth="1"/>
    <col min="4" max="4" width="17.85546875" style="60" customWidth="1"/>
    <col min="5" max="5" width="3.42578125" style="60" customWidth="1"/>
    <col min="6" max="6" width="11.42578125" style="60"/>
    <col min="7" max="7" width="10.28515625" style="72" customWidth="1"/>
    <col min="8" max="8" width="11.42578125" style="60"/>
    <col min="9" max="9" width="15.42578125" style="60" customWidth="1"/>
    <col min="10" max="16384" width="11.42578125" style="60"/>
  </cols>
  <sheetData>
    <row r="1" spans="1:10" ht="26.25" x14ac:dyDescent="0.4">
      <c r="A1" s="512" t="s">
        <v>287</v>
      </c>
      <c r="B1" s="1"/>
      <c r="C1" s="1"/>
      <c r="D1" s="1"/>
      <c r="E1" s="513"/>
      <c r="F1" s="71"/>
    </row>
    <row r="2" spans="1:10" ht="26.25" x14ac:dyDescent="0.4">
      <c r="A2" s="514" t="s">
        <v>174</v>
      </c>
      <c r="B2" s="3"/>
      <c r="C2" s="3"/>
      <c r="D2" s="3"/>
      <c r="E2" s="515" t="str">
        <f>+Stammdaten!D2</f>
        <v>Version 2.0</v>
      </c>
      <c r="F2" s="71"/>
    </row>
    <row r="3" spans="1:10" ht="19.5" thickBot="1" x14ac:dyDescent="0.35">
      <c r="A3" s="516">
        <f>+Stammdaten!A3</f>
        <v>0</v>
      </c>
      <c r="B3" s="517">
        <f>+Stammdaten!B3</f>
        <v>0</v>
      </c>
      <c r="C3" s="1"/>
      <c r="D3" s="1"/>
      <c r="E3" s="518"/>
    </row>
    <row r="4" spans="1:10" ht="51" customHeight="1" thickBot="1" x14ac:dyDescent="0.3">
      <c r="A4" s="973" t="s">
        <v>254</v>
      </c>
      <c r="B4" s="974"/>
      <c r="C4" s="974"/>
      <c r="D4" s="974"/>
      <c r="E4" s="975"/>
    </row>
    <row r="5" spans="1:10" ht="17.25" customHeight="1" x14ac:dyDescent="0.4">
      <c r="A5" s="514"/>
      <c r="B5" s="3"/>
      <c r="C5" s="3"/>
      <c r="D5" s="3"/>
      <c r="E5" s="7"/>
      <c r="J5" s="76"/>
    </row>
    <row r="6" spans="1:10" ht="38.25" customHeight="1" x14ac:dyDescent="0.3">
      <c r="A6" s="87"/>
      <c r="B6" s="18" t="s">
        <v>175</v>
      </c>
      <c r="C6" s="18" t="s">
        <v>176</v>
      </c>
      <c r="D6" s="88" t="s">
        <v>9</v>
      </c>
      <c r="E6" s="7"/>
    </row>
    <row r="7" spans="1:10" ht="18.75" x14ac:dyDescent="0.3">
      <c r="A7" s="89"/>
      <c r="B7" s="90"/>
      <c r="C7" s="90"/>
      <c r="D7" s="91"/>
      <c r="E7" s="7"/>
    </row>
    <row r="8" spans="1:10" ht="18.75" x14ac:dyDescent="0.3">
      <c r="A8" s="89" t="s">
        <v>145</v>
      </c>
      <c r="B8" s="90"/>
      <c r="C8" s="90"/>
      <c r="D8" s="92">
        <f>+Stammdaten!B7</f>
        <v>0</v>
      </c>
      <c r="E8" s="7"/>
    </row>
    <row r="9" spans="1:10" ht="18.75" x14ac:dyDescent="0.3">
      <c r="A9" s="89"/>
      <c r="B9" s="90"/>
      <c r="C9" s="90"/>
      <c r="D9" s="91"/>
      <c r="E9" s="7"/>
    </row>
    <row r="10" spans="1:10" ht="18.75" x14ac:dyDescent="0.3">
      <c r="A10" s="14" t="s">
        <v>177</v>
      </c>
      <c r="B10" s="93"/>
      <c r="C10" s="90"/>
      <c r="D10" s="94"/>
      <c r="E10" s="7"/>
      <c r="G10" s="77"/>
      <c r="H10" s="78"/>
    </row>
    <row r="11" spans="1:10" ht="18.75" x14ac:dyDescent="0.3">
      <c r="A11" s="20" t="s">
        <v>178</v>
      </c>
      <c r="B11" s="95" t="e">
        <f>'A Flächen'!D154/'Erg.-Übersicht'!D8</f>
        <v>#DIV/0!</v>
      </c>
      <c r="C11" s="96" t="e">
        <f>'A Flächen'!D155/'Erg.-Übersicht'!D8</f>
        <v>#DIV/0!</v>
      </c>
      <c r="D11" s="97" t="e">
        <f>C11+B11</f>
        <v>#DIV/0!</v>
      </c>
      <c r="E11" s="7"/>
      <c r="G11" s="924"/>
      <c r="H11" s="78"/>
    </row>
    <row r="12" spans="1:10" ht="18.75" x14ac:dyDescent="0.3">
      <c r="A12" s="20" t="s">
        <v>179</v>
      </c>
      <c r="B12" s="95" t="e">
        <f>'A Flächen'!D174/'Erg.-Übersicht'!D8</f>
        <v>#DIV/0!</v>
      </c>
      <c r="C12" s="96" t="e">
        <f>'A Flächen'!D175/'Erg.-Übersicht'!D8</f>
        <v>#DIV/0!</v>
      </c>
      <c r="D12" s="97" t="e">
        <f>C12+B12</f>
        <v>#DIV/0!</v>
      </c>
      <c r="E12" s="7"/>
      <c r="G12" s="924"/>
      <c r="H12" s="78"/>
    </row>
    <row r="13" spans="1:10" ht="18.75" x14ac:dyDescent="0.3">
      <c r="A13" s="89"/>
      <c r="B13" s="90"/>
      <c r="C13" s="90"/>
      <c r="D13" s="91"/>
      <c r="E13" s="7"/>
      <c r="G13" s="108"/>
      <c r="H13" s="107"/>
    </row>
    <row r="14" spans="1:10" ht="18.75" x14ac:dyDescent="0.3">
      <c r="A14" s="20" t="s">
        <v>180</v>
      </c>
      <c r="B14" s="22" t="e">
        <f>+'B_1 Geb. Kaltmiete'!E130</f>
        <v>#DIV/0!</v>
      </c>
      <c r="C14" s="22" t="e">
        <f>+'B_1 Geb. Kaltmiete'!F130</f>
        <v>#DIV/0!</v>
      </c>
      <c r="D14" s="98" t="e">
        <f t="shared" ref="D14" si="0">+C14+B14</f>
        <v>#DIV/0!</v>
      </c>
      <c r="E14" s="7"/>
      <c r="G14" s="924"/>
      <c r="H14" s="78"/>
    </row>
    <row r="15" spans="1:10" ht="18.75" x14ac:dyDescent="0.3">
      <c r="A15" s="20" t="s">
        <v>60</v>
      </c>
      <c r="B15" s="24" t="e">
        <f>IF('D Ausstatt.'!D40&gt;0,'D Ausstatt.'!E40,0)</f>
        <v>#DIV/0!</v>
      </c>
      <c r="C15" s="22" t="e">
        <f>IF('D Ausstatt.'!D40&gt;0,'D Ausstatt.'!F40,0)</f>
        <v>#DIV/0!</v>
      </c>
      <c r="D15" s="98" t="e">
        <f>IF('D Ausstatt.'!D40&gt;0,+B15+C15,0)</f>
        <v>#DIV/0!</v>
      </c>
      <c r="E15" s="7"/>
      <c r="G15" s="924"/>
      <c r="H15" s="78"/>
    </row>
    <row r="16" spans="1:10" ht="18.75" x14ac:dyDescent="0.3">
      <c r="A16" s="20" t="s">
        <v>114</v>
      </c>
      <c r="B16" s="22" t="e">
        <f>'C_1 Nebenk.'!D51</f>
        <v>#VALUE!</v>
      </c>
      <c r="C16" s="22" t="e">
        <f>+'C_1 Nebenk.'!F51</f>
        <v>#VALUE!</v>
      </c>
      <c r="D16" s="98" t="e">
        <f>+C16+B16</f>
        <v>#VALUE!</v>
      </c>
      <c r="E16" s="7"/>
      <c r="G16" s="924"/>
      <c r="H16" s="78"/>
    </row>
    <row r="17" spans="1:8" ht="18.75" x14ac:dyDescent="0.3">
      <c r="A17" s="20" t="s">
        <v>244</v>
      </c>
      <c r="B17" s="22">
        <v>0</v>
      </c>
      <c r="C17" s="22" t="e">
        <f>+D17</f>
        <v>#DIV/0!</v>
      </c>
      <c r="D17" s="98" t="e">
        <f>(SUM(D14:D16)-'B_1 Geb. Kaltmiete'!E128*0.5)*0.03</f>
        <v>#DIV/0!</v>
      </c>
      <c r="E17" s="7"/>
      <c r="G17" s="924"/>
      <c r="H17" s="78"/>
    </row>
    <row r="18" spans="1:8" ht="18.75" x14ac:dyDescent="0.3">
      <c r="A18" s="20" t="s">
        <v>225</v>
      </c>
      <c r="B18" s="22">
        <f>IF('B_2 Sonder-Infrastr.'!H29&gt;0,'B_2 Sonder-Infrastr.'!E166,0)</f>
        <v>0</v>
      </c>
      <c r="C18" s="22">
        <f>IF('B_2 Sonder-Infrastr.'!H29&gt;0,'B_2 Sonder-Infrastr.'!F166,0)</f>
        <v>0</v>
      </c>
      <c r="D18" s="98">
        <f>IF('B_2 Sonder-Infrastr.'!H29&gt;0,'B_2 Sonder-Infrastr.'!D166,0)</f>
        <v>0</v>
      </c>
      <c r="E18" s="7"/>
      <c r="G18" s="924"/>
      <c r="H18" s="78"/>
    </row>
    <row r="19" spans="1:8" ht="19.5" thickBot="1" x14ac:dyDescent="0.35">
      <c r="A19" s="25" t="s">
        <v>226</v>
      </c>
      <c r="B19" s="27">
        <f>IF('C_2 NK Sonder-Infrastr.'!E43&gt;0,'C_2 NK Sonder-Infrastr.'!E49,0)</f>
        <v>0</v>
      </c>
      <c r="C19" s="27">
        <f>IF('C_2 NK Sonder-Infrastr.'!F43&gt;0,'C_2 NK Sonder-Infrastr.'!F49,0)</f>
        <v>0</v>
      </c>
      <c r="D19" s="872">
        <f>IF('C_2 NK Sonder-Infrastr.'!C43&gt;0,'C_2 NK Sonder-Infrastr.'!D49,0)</f>
        <v>0</v>
      </c>
      <c r="E19" s="7"/>
      <c r="G19" s="924"/>
      <c r="H19" s="78"/>
    </row>
    <row r="20" spans="1:8" ht="19.5" thickTop="1" x14ac:dyDescent="0.3">
      <c r="A20" s="28" t="s">
        <v>181</v>
      </c>
      <c r="B20" s="30" t="e">
        <f>SUM(B14:B19)</f>
        <v>#DIV/0!</v>
      </c>
      <c r="C20" s="30" t="e">
        <f>+SUM(C14:C19)</f>
        <v>#DIV/0!</v>
      </c>
      <c r="D20" s="99" t="e">
        <f>+SUM(D14:D19)</f>
        <v>#DIV/0!</v>
      </c>
      <c r="E20" s="519"/>
      <c r="G20" s="924"/>
      <c r="H20" s="78"/>
    </row>
    <row r="21" spans="1:8" ht="45" x14ac:dyDescent="0.25">
      <c r="A21" s="31"/>
      <c r="B21" s="100" t="s">
        <v>182</v>
      </c>
      <c r="C21" s="100" t="s">
        <v>241</v>
      </c>
      <c r="D21" s="32"/>
      <c r="E21" s="519"/>
      <c r="G21" s="77"/>
      <c r="H21" s="78"/>
    </row>
    <row r="22" spans="1:8" ht="15.75" thickBot="1" x14ac:dyDescent="0.3">
      <c r="A22" s="31"/>
      <c r="B22" s="32"/>
      <c r="C22" s="32"/>
      <c r="D22" s="32"/>
      <c r="E22" s="519"/>
      <c r="G22" s="77"/>
      <c r="H22" s="78"/>
    </row>
    <row r="23" spans="1:8" ht="19.5" thickTop="1" x14ac:dyDescent="0.3">
      <c r="A23" s="34" t="s">
        <v>183</v>
      </c>
      <c r="B23" s="985" t="e">
        <f>+IF(B20&gt;B51,B51,B20)</f>
        <v>#DIV/0!</v>
      </c>
      <c r="C23" s="987"/>
      <c r="D23" s="989" t="e">
        <f>+SUM(B23:C24)</f>
        <v>#DIV/0!</v>
      </c>
      <c r="E23" s="519"/>
      <c r="G23" s="77"/>
      <c r="H23" s="78"/>
    </row>
    <row r="24" spans="1:8" ht="15.75" thickBot="1" x14ac:dyDescent="0.3">
      <c r="A24" s="511" t="s">
        <v>357</v>
      </c>
      <c r="B24" s="986"/>
      <c r="C24" s="988"/>
      <c r="D24" s="990"/>
      <c r="E24" s="519"/>
      <c r="G24" s="77"/>
      <c r="H24" s="78"/>
    </row>
    <row r="25" spans="1:8" ht="15.75" thickTop="1" x14ac:dyDescent="0.25">
      <c r="A25" s="101" t="e">
        <f>+IF(#REF!&lt;0,"Achtung! Da KdU&lt;100% ggfs Regelsatz-Absenkung für Nebenkosten wegen anderweitiger Bedarfsdeckung","")</f>
        <v>#REF!</v>
      </c>
      <c r="B25" s="102"/>
      <c r="C25" s="102"/>
      <c r="D25" s="102"/>
      <c r="E25" s="519"/>
      <c r="F25" s="71"/>
      <c r="G25" s="77"/>
      <c r="H25" s="78"/>
    </row>
    <row r="26" spans="1:8" ht="18.75" x14ac:dyDescent="0.3">
      <c r="A26" s="892" t="s">
        <v>185</v>
      </c>
      <c r="B26" s="991" t="e">
        <f>IF(B20-B23&gt;0,B20-B23,0)</f>
        <v>#DIV/0!</v>
      </c>
      <c r="C26" s="993"/>
      <c r="D26" s="995" t="e">
        <f>+SUM(B26:C27)</f>
        <v>#DIV/0!</v>
      </c>
      <c r="E26" s="519"/>
      <c r="G26" s="80"/>
      <c r="H26" s="78"/>
    </row>
    <row r="27" spans="1:8" x14ac:dyDescent="0.25">
      <c r="A27" s="893" t="s">
        <v>236</v>
      </c>
      <c r="B27" s="992"/>
      <c r="C27" s="994"/>
      <c r="D27" s="994"/>
      <c r="E27" s="519"/>
      <c r="G27" s="77"/>
      <c r="H27" s="78"/>
    </row>
    <row r="28" spans="1:8" x14ac:dyDescent="0.25">
      <c r="A28" s="893"/>
      <c r="B28" s="894" t="s">
        <v>334</v>
      </c>
      <c r="C28" s="895"/>
      <c r="D28" s="896" t="s">
        <v>334</v>
      </c>
      <c r="E28" s="519"/>
      <c r="G28" s="77"/>
      <c r="H28" s="78"/>
    </row>
    <row r="29" spans="1:8" x14ac:dyDescent="0.25">
      <c r="A29" s="893"/>
      <c r="B29" s="897" t="e">
        <f>+B26/30.42</f>
        <v>#DIV/0!</v>
      </c>
      <c r="C29" s="898"/>
      <c r="D29" s="899" t="e">
        <f>+D26/30.42</f>
        <v>#DIV/0!</v>
      </c>
      <c r="E29" s="519"/>
      <c r="G29" s="77"/>
      <c r="H29" s="78"/>
    </row>
    <row r="30" spans="1:8" ht="18.75" x14ac:dyDescent="0.3">
      <c r="A30" s="892" t="s">
        <v>186</v>
      </c>
      <c r="B30" s="976"/>
      <c r="C30" s="978" t="e">
        <f>+C20</f>
        <v>#DIV/0!</v>
      </c>
      <c r="D30" s="980" t="e">
        <f>+SUM(B30:C31)</f>
        <v>#DIV/0!</v>
      </c>
      <c r="E30" s="519"/>
      <c r="G30" s="77"/>
      <c r="H30" s="78"/>
    </row>
    <row r="31" spans="1:8" ht="18.75" x14ac:dyDescent="0.3">
      <c r="A31" s="900" t="s">
        <v>187</v>
      </c>
      <c r="B31" s="977"/>
      <c r="C31" s="979"/>
      <c r="D31" s="977"/>
      <c r="E31" s="519"/>
      <c r="G31" s="80"/>
      <c r="H31" s="78"/>
    </row>
    <row r="32" spans="1:8" ht="18.75" x14ac:dyDescent="0.3">
      <c r="A32" s="900"/>
      <c r="B32" s="896"/>
      <c r="C32" s="894" t="s">
        <v>334</v>
      </c>
      <c r="D32" s="896" t="s">
        <v>334</v>
      </c>
      <c r="E32" s="519"/>
      <c r="G32" s="77"/>
      <c r="H32" s="78"/>
    </row>
    <row r="33" spans="1:8" ht="19.5" thickBot="1" x14ac:dyDescent="0.35">
      <c r="A33" s="900"/>
      <c r="B33" s="899"/>
      <c r="C33" s="897" t="e">
        <f>+C30/30.42</f>
        <v>#DIV/0!</v>
      </c>
      <c r="D33" s="899" t="e">
        <f>+D30/30.42</f>
        <v>#DIV/0!</v>
      </c>
      <c r="E33" s="519"/>
      <c r="G33" s="77"/>
      <c r="H33" s="78"/>
    </row>
    <row r="34" spans="1:8" ht="19.5" thickTop="1" x14ac:dyDescent="0.3">
      <c r="A34" s="34" t="s">
        <v>188</v>
      </c>
      <c r="B34" s="981"/>
      <c r="C34" s="981"/>
      <c r="D34" s="983" t="e">
        <f>+D26+D30</f>
        <v>#DIV/0!</v>
      </c>
      <c r="E34" s="519"/>
      <c r="G34" s="77"/>
      <c r="H34" s="78"/>
    </row>
    <row r="35" spans="1:8" ht="19.5" thickBot="1" x14ac:dyDescent="0.35">
      <c r="A35" s="40" t="s">
        <v>189</v>
      </c>
      <c r="B35" s="982"/>
      <c r="C35" s="982"/>
      <c r="D35" s="984"/>
      <c r="E35" s="519"/>
      <c r="G35" s="924"/>
      <c r="H35" s="78"/>
    </row>
    <row r="36" spans="1:8" ht="15.75" thickTop="1" x14ac:dyDescent="0.25">
      <c r="A36" s="31"/>
      <c r="B36" s="3"/>
      <c r="C36" s="3"/>
      <c r="D36" s="3"/>
      <c r="E36" s="519"/>
      <c r="G36" s="77"/>
      <c r="H36" s="78"/>
    </row>
    <row r="37" spans="1:8" x14ac:dyDescent="0.25">
      <c r="A37" s="31"/>
      <c r="B37" s="3"/>
      <c r="C37" s="3"/>
      <c r="D37" s="3"/>
      <c r="E37" s="520"/>
      <c r="G37" s="77"/>
      <c r="H37" s="78"/>
    </row>
    <row r="38" spans="1:8" ht="18.75" x14ac:dyDescent="0.3">
      <c r="A38" s="47" t="s">
        <v>268</v>
      </c>
      <c r="B38" s="3"/>
      <c r="C38" s="3"/>
      <c r="D38" s="3"/>
      <c r="E38" s="520"/>
      <c r="G38" s="77"/>
      <c r="H38" s="78"/>
    </row>
    <row r="39" spans="1:8" ht="18.75" x14ac:dyDescent="0.3">
      <c r="A39" s="47" t="s">
        <v>190</v>
      </c>
      <c r="B39" s="49"/>
      <c r="C39" s="3"/>
      <c r="D39" s="3"/>
      <c r="E39" s="520"/>
      <c r="F39" s="71"/>
      <c r="G39" s="77"/>
      <c r="H39" s="78"/>
    </row>
    <row r="40" spans="1:8" ht="30" x14ac:dyDescent="0.25">
      <c r="A40" s="103" t="s">
        <v>191</v>
      </c>
      <c r="B40" s="50" t="e">
        <f>+B15</f>
        <v>#DIV/0!</v>
      </c>
      <c r="C40" s="3"/>
      <c r="D40" s="3"/>
      <c r="E40" s="520"/>
      <c r="G40" s="77"/>
      <c r="H40" s="78"/>
    </row>
    <row r="41" spans="1:8" x14ac:dyDescent="0.25">
      <c r="A41" s="104" t="s">
        <v>192</v>
      </c>
      <c r="B41" s="50" t="e">
        <f>'C_1 Nebenk.'!E44*'A Flächen'!F184</f>
        <v>#VALUE!</v>
      </c>
      <c r="C41" s="3"/>
      <c r="D41" s="3"/>
      <c r="E41" s="520"/>
      <c r="G41" s="77"/>
      <c r="H41" s="78"/>
    </row>
    <row r="42" spans="1:8" ht="45.75" customHeight="1" x14ac:dyDescent="0.25">
      <c r="A42" s="103" t="s">
        <v>270</v>
      </c>
      <c r="B42" s="50" t="e">
        <f>'B_1 Geb. Kaltmiete'!D115*'A Flächen'!E184*365/12</f>
        <v>#DIV/0!</v>
      </c>
      <c r="C42" s="3"/>
      <c r="D42" s="3"/>
      <c r="E42" s="520"/>
      <c r="G42" s="77"/>
      <c r="H42" s="78"/>
    </row>
    <row r="43" spans="1:8" ht="30" x14ac:dyDescent="0.25">
      <c r="A43" s="103" t="s">
        <v>193</v>
      </c>
      <c r="B43" s="50" t="e">
        <f>+'C_1 Nebenk.'!E41</f>
        <v>#VALUE!</v>
      </c>
      <c r="C43" s="3"/>
      <c r="D43" s="3"/>
      <c r="E43" s="520"/>
      <c r="G43" s="77"/>
      <c r="H43" s="78"/>
    </row>
    <row r="44" spans="1:8" ht="31.5" customHeight="1" thickBot="1" x14ac:dyDescent="0.3">
      <c r="A44" s="105" t="s">
        <v>269</v>
      </c>
      <c r="B44" s="51" t="str">
        <f>IFERROR(IF(B20-B40-B41-B42-B43-Stammdaten!B10&gt;0,B20-B40-B41-B42-B43-Stammdaten!B10,""),"")</f>
        <v/>
      </c>
      <c r="C44" s="3"/>
      <c r="D44" s="3"/>
      <c r="E44" s="520"/>
      <c r="F44" s="82"/>
      <c r="G44" s="83"/>
      <c r="H44" s="84"/>
    </row>
    <row r="45" spans="1:8" ht="15.75" thickTop="1" x14ac:dyDescent="0.25">
      <c r="A45" s="13" t="s">
        <v>271</v>
      </c>
      <c r="B45" s="106" t="e">
        <f>SUM(B40:B44)</f>
        <v>#DIV/0!</v>
      </c>
      <c r="C45" s="3"/>
      <c r="D45" s="3"/>
      <c r="E45" s="520"/>
      <c r="G45" s="77"/>
      <c r="H45" s="78"/>
    </row>
    <row r="46" spans="1:8" x14ac:dyDescent="0.25">
      <c r="A46" s="483"/>
      <c r="B46" s="521"/>
      <c r="C46" s="521"/>
      <c r="D46" s="521"/>
      <c r="E46" s="522"/>
      <c r="G46" s="77"/>
      <c r="H46" s="78"/>
    </row>
    <row r="47" spans="1:8" x14ac:dyDescent="0.25">
      <c r="A47" s="480" t="s">
        <v>277</v>
      </c>
      <c r="B47" s="3"/>
      <c r="C47" s="3"/>
      <c r="D47" s="3"/>
      <c r="E47" s="520"/>
      <c r="G47" s="77"/>
      <c r="H47" s="78"/>
    </row>
    <row r="48" spans="1:8" x14ac:dyDescent="0.25">
      <c r="A48" s="481" t="s">
        <v>278</v>
      </c>
      <c r="B48" s="482"/>
      <c r="C48" s="3"/>
      <c r="D48" s="3"/>
      <c r="E48" s="520"/>
      <c r="G48" s="77"/>
      <c r="H48" s="78"/>
    </row>
    <row r="49" spans="1:8" x14ac:dyDescent="0.25">
      <c r="A49" s="483" t="s">
        <v>280</v>
      </c>
      <c r="B49" s="8">
        <f>Stammdaten!B10</f>
        <v>0</v>
      </c>
      <c r="C49" s="3"/>
      <c r="D49" s="3"/>
      <c r="E49" s="520"/>
      <c r="G49" s="924"/>
      <c r="H49" s="78"/>
    </row>
    <row r="50" spans="1:8" x14ac:dyDescent="0.25">
      <c r="A50" s="484" t="s">
        <v>279</v>
      </c>
      <c r="B50" s="485" t="e">
        <f>B20/B49-1</f>
        <v>#DIV/0!</v>
      </c>
      <c r="C50" s="3"/>
      <c r="D50" s="3"/>
      <c r="E50" s="520"/>
      <c r="G50" s="924"/>
      <c r="H50" s="78"/>
    </row>
    <row r="51" spans="1:8" x14ac:dyDescent="0.25">
      <c r="A51" s="484" t="s">
        <v>276</v>
      </c>
      <c r="B51" s="8">
        <f>B49*1.25</f>
        <v>0</v>
      </c>
      <c r="C51" s="521"/>
      <c r="D51" s="521"/>
      <c r="E51" s="522"/>
      <c r="G51" s="924"/>
      <c r="H51" s="78"/>
    </row>
  </sheetData>
  <sheetProtection algorithmName="SHA-512" hashValue="i0uWdbkpCN/UCy2v+Sodpc+KDcsA1QQs0O/JcMVeo4efiwSOHXsb6KNW1Cc/dsvNjn3e66SojLURTOYPT0DS8A==" saltValue="+PnjTYNORK6XWTf/lTiN8g==" spinCount="100000" sheet="1" objects="1" scenarios="1" selectLockedCells="1" selectUnlockedCells="1"/>
  <mergeCells count="13">
    <mergeCell ref="A4:E4"/>
    <mergeCell ref="B30:B31"/>
    <mergeCell ref="C30:C31"/>
    <mergeCell ref="D30:D31"/>
    <mergeCell ref="B34:B35"/>
    <mergeCell ref="C34:C35"/>
    <mergeCell ref="D34:D35"/>
    <mergeCell ref="B23:B24"/>
    <mergeCell ref="C23:C24"/>
    <mergeCell ref="D23:D24"/>
    <mergeCell ref="B26:B27"/>
    <mergeCell ref="C26:C27"/>
    <mergeCell ref="D26:D27"/>
  </mergeCells>
  <conditionalFormatting sqref="A25">
    <cfRule type="containsErrors" dxfId="142" priority="14">
      <formula>ISERROR(A25)</formula>
    </cfRule>
  </conditionalFormatting>
  <conditionalFormatting sqref="G11">
    <cfRule type="expression" dxfId="141" priority="4">
      <formula>$G$11=""</formula>
    </cfRule>
    <cfRule type="expression" dxfId="140" priority="5">
      <formula>G11&lt;&gt;0</formula>
    </cfRule>
  </conditionalFormatting>
  <conditionalFormatting sqref="G12">
    <cfRule type="expression" dxfId="139" priority="6">
      <formula>$G$12=""</formula>
    </cfRule>
    <cfRule type="expression" dxfId="138" priority="13">
      <formula>G12&lt;&gt;0</formula>
    </cfRule>
  </conditionalFormatting>
  <conditionalFormatting sqref="G14:G20">
    <cfRule type="expression" dxfId="137" priority="9">
      <formula>G14&lt;&gt;0</formula>
    </cfRule>
  </conditionalFormatting>
  <conditionalFormatting sqref="G35">
    <cfRule type="expression" dxfId="136" priority="11">
      <formula>G35&lt;&gt;0</formula>
    </cfRule>
  </conditionalFormatting>
  <conditionalFormatting sqref="G49:G51">
    <cfRule type="expression" dxfId="135" priority="1">
      <formula>G49&lt;&gt;0</formula>
    </cfRule>
  </conditionalFormatting>
  <pageMargins left="0.7" right="0.7" top="0.78740157499999996" bottom="0.78740157499999996" header="0.3" footer="0.3"/>
  <pageSetup paperSize="9" scale="81" orientation="portrait" r:id="rId1"/>
  <colBreaks count="1" manualBreakCount="1">
    <brk id="5" max="1048575" man="1"/>
  </colBreaks>
  <ignoredErrors>
    <ignoredError sqref="D15 D17"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P192"/>
  <sheetViews>
    <sheetView zoomScaleNormal="100" workbookViewId="0">
      <selection activeCell="A4" sqref="A4"/>
    </sheetView>
  </sheetViews>
  <sheetFormatPr baseColWidth="10" defaultColWidth="11.42578125" defaultRowHeight="15" x14ac:dyDescent="0.25"/>
  <cols>
    <col min="1" max="1" width="11.140625" style="113" customWidth="1"/>
    <col min="2" max="2" width="24.42578125" style="113" customWidth="1"/>
    <col min="3" max="4" width="14" style="113" customWidth="1"/>
    <col min="5" max="5" width="13.85546875" style="113" customWidth="1"/>
    <col min="6" max="6" width="13.140625" style="113" customWidth="1"/>
    <col min="7" max="7" width="13.28515625" style="113" customWidth="1"/>
    <col min="8" max="8" width="5" style="60" customWidth="1"/>
    <col min="9" max="9" width="7.7109375" style="113" bestFit="1" customWidth="1"/>
    <col min="10" max="16384" width="11.42578125" style="113"/>
  </cols>
  <sheetData>
    <row r="1" spans="1:16" ht="26.25" x14ac:dyDescent="0.4">
      <c r="A1" s="523" t="s">
        <v>287</v>
      </c>
      <c r="B1" s="528"/>
      <c r="C1" s="528"/>
      <c r="D1" s="528"/>
      <c r="E1" s="528"/>
      <c r="F1" s="528"/>
      <c r="G1" s="518"/>
      <c r="H1" s="787"/>
      <c r="I1" s="788"/>
      <c r="J1" s="788"/>
      <c r="K1" s="788"/>
      <c r="L1" s="788"/>
      <c r="M1" s="788"/>
      <c r="N1" s="788"/>
      <c r="O1" s="788"/>
      <c r="P1" s="788"/>
    </row>
    <row r="2" spans="1:16" ht="26.25" x14ac:dyDescent="0.4">
      <c r="A2" s="524" t="s">
        <v>21</v>
      </c>
      <c r="B2" s="439"/>
      <c r="C2" s="439"/>
      <c r="D2" s="439"/>
      <c r="E2" s="529"/>
      <c r="F2" s="439"/>
      <c r="G2" s="525" t="str">
        <f>+Stammdaten!D2</f>
        <v>Version 2.0</v>
      </c>
      <c r="H2" s="787"/>
      <c r="I2" s="788"/>
      <c r="J2" s="788"/>
      <c r="K2" s="788"/>
      <c r="L2" s="788"/>
      <c r="M2" s="788"/>
      <c r="N2" s="788"/>
      <c r="O2" s="788"/>
      <c r="P2" s="788"/>
    </row>
    <row r="3" spans="1:16" x14ac:dyDescent="0.25">
      <c r="A3" s="110">
        <f>+Stammdaten!B5</f>
        <v>0</v>
      </c>
      <c r="B3" s="402"/>
      <c r="C3" s="282">
        <f>+Stammdaten!B3</f>
        <v>0</v>
      </c>
      <c r="D3" s="282"/>
      <c r="E3" s="530"/>
      <c r="F3" s="526" t="s">
        <v>36</v>
      </c>
      <c r="G3" s="527"/>
      <c r="H3" s="787"/>
      <c r="I3" s="788"/>
      <c r="J3" s="788"/>
      <c r="K3" s="788"/>
      <c r="L3" s="788"/>
      <c r="M3" s="788"/>
      <c r="N3" s="788"/>
      <c r="O3" s="788"/>
      <c r="P3" s="788"/>
    </row>
    <row r="4" spans="1:16" s="119" customFormat="1" ht="15.75" thickBot="1" x14ac:dyDescent="0.3">
      <c r="A4" s="116"/>
      <c r="B4" s="117"/>
      <c r="C4" s="117"/>
      <c r="D4" s="117"/>
      <c r="E4" s="117"/>
      <c r="F4" s="117"/>
      <c r="G4" s="118"/>
      <c r="H4" s="430"/>
      <c r="I4" s="430"/>
      <c r="J4" s="430"/>
      <c r="K4" s="430"/>
      <c r="L4" s="430"/>
      <c r="M4" s="430"/>
      <c r="N4" s="430"/>
      <c r="O4" s="430"/>
      <c r="P4" s="430"/>
    </row>
    <row r="5" spans="1:16" s="119" customFormat="1" ht="30.75" customHeight="1" thickBot="1" x14ac:dyDescent="0.3">
      <c r="A5" s="996" t="s">
        <v>264</v>
      </c>
      <c r="B5" s="997"/>
      <c r="C5" s="997"/>
      <c r="D5" s="997"/>
      <c r="E5" s="997"/>
      <c r="F5" s="997"/>
      <c r="G5" s="998"/>
      <c r="H5" s="430"/>
      <c r="I5" s="430"/>
      <c r="J5" s="789"/>
      <c r="K5" s="430"/>
      <c r="L5" s="430"/>
      <c r="M5" s="430"/>
      <c r="N5" s="430"/>
      <c r="O5" s="430"/>
      <c r="P5" s="430"/>
    </row>
    <row r="6" spans="1:16" s="119" customFormat="1" ht="15.75" thickBot="1" x14ac:dyDescent="0.3">
      <c r="A6" s="120"/>
      <c r="B6" s="121"/>
      <c r="C6" s="121"/>
      <c r="D6" s="121"/>
      <c r="E6" s="121"/>
      <c r="F6" s="121"/>
      <c r="G6" s="122"/>
      <c r="H6" s="430"/>
      <c r="I6" s="430"/>
      <c r="J6" s="790"/>
      <c r="K6" s="430"/>
      <c r="L6" s="430"/>
      <c r="M6" s="430"/>
      <c r="N6" s="430"/>
      <c r="O6" s="430"/>
      <c r="P6" s="430"/>
    </row>
    <row r="7" spans="1:16" s="119" customFormat="1" ht="15.75" thickBot="1" x14ac:dyDescent="0.3">
      <c r="A7" s="622" t="s">
        <v>95</v>
      </c>
      <c r="B7" s="623"/>
      <c r="C7" s="623"/>
      <c r="D7" s="623"/>
      <c r="E7" s="156">
        <v>1</v>
      </c>
      <c r="F7" s="157">
        <v>0</v>
      </c>
      <c r="G7" s="157">
        <v>0</v>
      </c>
      <c r="H7" s="430"/>
      <c r="I7" s="430"/>
      <c r="J7" s="430"/>
      <c r="K7" s="430"/>
      <c r="L7" s="430"/>
      <c r="M7" s="430"/>
      <c r="N7" s="430"/>
      <c r="O7" s="430"/>
      <c r="P7" s="430"/>
    </row>
    <row r="8" spans="1:16" ht="30.75" thickBot="1" x14ac:dyDescent="0.3">
      <c r="A8" s="624" t="s">
        <v>0</v>
      </c>
      <c r="B8" s="624" t="s">
        <v>1</v>
      </c>
      <c r="C8" s="625" t="s">
        <v>99</v>
      </c>
      <c r="D8" s="626" t="s">
        <v>101</v>
      </c>
      <c r="E8" s="627" t="s">
        <v>100</v>
      </c>
      <c r="F8" s="628" t="s">
        <v>19</v>
      </c>
      <c r="G8" s="628" t="s">
        <v>107</v>
      </c>
      <c r="H8" s="787"/>
      <c r="I8" s="788"/>
      <c r="J8" s="788"/>
      <c r="K8" s="788"/>
      <c r="L8" s="788"/>
      <c r="M8" s="788"/>
      <c r="N8" s="788"/>
      <c r="O8" s="788"/>
      <c r="P8" s="788"/>
    </row>
    <row r="9" spans="1:16" x14ac:dyDescent="0.25">
      <c r="A9" s="123"/>
      <c r="B9" s="124"/>
      <c r="C9" s="124"/>
      <c r="D9" s="125"/>
      <c r="E9" s="283">
        <f t="shared" ref="E9:E37" si="0">+D9*$E$7</f>
        <v>0</v>
      </c>
      <c r="F9" s="284">
        <f t="shared" ref="F9:F37" si="1">+D9*$F$7</f>
        <v>0</v>
      </c>
      <c r="G9" s="284">
        <f>+D9*$G$7</f>
        <v>0</v>
      </c>
      <c r="H9" s="787"/>
      <c r="I9" s="788"/>
      <c r="J9" s="788"/>
      <c r="K9" s="788"/>
      <c r="L9" s="788"/>
      <c r="M9" s="788"/>
      <c r="N9" s="788"/>
      <c r="O9" s="788"/>
      <c r="P9" s="788"/>
    </row>
    <row r="10" spans="1:16" x14ac:dyDescent="0.25">
      <c r="A10" s="123"/>
      <c r="B10" s="124"/>
      <c r="C10" s="124"/>
      <c r="D10" s="125"/>
      <c r="E10" s="285">
        <f t="shared" si="0"/>
        <v>0</v>
      </c>
      <c r="F10" s="286">
        <f t="shared" si="1"/>
        <v>0</v>
      </c>
      <c r="G10" s="284">
        <f t="shared" ref="G10:G65" si="2">+D10*$G$7</f>
        <v>0</v>
      </c>
      <c r="H10" s="787"/>
      <c r="I10" s="788"/>
      <c r="J10" s="788"/>
      <c r="K10" s="788"/>
      <c r="L10" s="788"/>
      <c r="M10" s="788"/>
      <c r="N10" s="788"/>
      <c r="O10" s="788"/>
      <c r="P10" s="788"/>
    </row>
    <row r="11" spans="1:16" x14ac:dyDescent="0.25">
      <c r="A11" s="123"/>
      <c r="B11" s="124"/>
      <c r="C11" s="124"/>
      <c r="D11" s="125"/>
      <c r="E11" s="285">
        <f t="shared" si="0"/>
        <v>0</v>
      </c>
      <c r="F11" s="286">
        <f t="shared" si="1"/>
        <v>0</v>
      </c>
      <c r="G11" s="284">
        <f t="shared" si="2"/>
        <v>0</v>
      </c>
      <c r="H11" s="787"/>
      <c r="I11" s="788"/>
      <c r="J11" s="788"/>
      <c r="K11" s="788"/>
      <c r="L11" s="788"/>
      <c r="M11" s="788"/>
      <c r="N11" s="788"/>
      <c r="O11" s="788"/>
      <c r="P11" s="788"/>
    </row>
    <row r="12" spans="1:16" x14ac:dyDescent="0.25">
      <c r="A12" s="123"/>
      <c r="B12" s="124"/>
      <c r="C12" s="124"/>
      <c r="D12" s="125"/>
      <c r="E12" s="285">
        <f t="shared" si="0"/>
        <v>0</v>
      </c>
      <c r="F12" s="286">
        <f t="shared" si="1"/>
        <v>0</v>
      </c>
      <c r="G12" s="284">
        <f t="shared" si="2"/>
        <v>0</v>
      </c>
      <c r="H12" s="787"/>
      <c r="I12" s="788"/>
      <c r="J12" s="788"/>
      <c r="K12" s="788"/>
      <c r="L12" s="788"/>
      <c r="M12" s="788"/>
      <c r="N12" s="788"/>
      <c r="O12" s="788"/>
      <c r="P12" s="788"/>
    </row>
    <row r="13" spans="1:16" x14ac:dyDescent="0.25">
      <c r="A13" s="123"/>
      <c r="B13" s="124"/>
      <c r="C13" s="124"/>
      <c r="D13" s="125"/>
      <c r="E13" s="285">
        <f t="shared" si="0"/>
        <v>0</v>
      </c>
      <c r="F13" s="286">
        <f t="shared" si="1"/>
        <v>0</v>
      </c>
      <c r="G13" s="284">
        <f t="shared" si="2"/>
        <v>0</v>
      </c>
      <c r="H13" s="787"/>
      <c r="I13" s="788"/>
      <c r="J13" s="788"/>
      <c r="K13" s="788"/>
      <c r="L13" s="788"/>
      <c r="M13" s="788"/>
      <c r="N13" s="788"/>
      <c r="O13" s="788"/>
      <c r="P13" s="788"/>
    </row>
    <row r="14" spans="1:16" x14ac:dyDescent="0.25">
      <c r="A14" s="123"/>
      <c r="B14" s="124"/>
      <c r="C14" s="124"/>
      <c r="D14" s="125"/>
      <c r="E14" s="285">
        <f t="shared" si="0"/>
        <v>0</v>
      </c>
      <c r="F14" s="286">
        <f t="shared" si="1"/>
        <v>0</v>
      </c>
      <c r="G14" s="284">
        <f t="shared" si="2"/>
        <v>0</v>
      </c>
      <c r="H14" s="787"/>
      <c r="I14" s="788"/>
      <c r="J14" s="788"/>
      <c r="K14" s="788"/>
      <c r="L14" s="788"/>
      <c r="M14" s="788"/>
      <c r="N14" s="788"/>
      <c r="O14" s="788"/>
      <c r="P14" s="788"/>
    </row>
    <row r="15" spans="1:16" x14ac:dyDescent="0.25">
      <c r="A15" s="123"/>
      <c r="B15" s="124"/>
      <c r="C15" s="124"/>
      <c r="D15" s="125"/>
      <c r="E15" s="285">
        <f t="shared" si="0"/>
        <v>0</v>
      </c>
      <c r="F15" s="286">
        <f t="shared" si="1"/>
        <v>0</v>
      </c>
      <c r="G15" s="284">
        <f t="shared" si="2"/>
        <v>0</v>
      </c>
    </row>
    <row r="16" spans="1:16" x14ac:dyDescent="0.25">
      <c r="A16" s="123"/>
      <c r="B16" s="124"/>
      <c r="C16" s="124"/>
      <c r="D16" s="125"/>
      <c r="E16" s="285">
        <f t="shared" si="0"/>
        <v>0</v>
      </c>
      <c r="F16" s="286">
        <f t="shared" si="1"/>
        <v>0</v>
      </c>
      <c r="G16" s="284">
        <f t="shared" si="2"/>
        <v>0</v>
      </c>
    </row>
    <row r="17" spans="1:7" x14ac:dyDescent="0.25">
      <c r="A17" s="123"/>
      <c r="B17" s="124"/>
      <c r="C17" s="124"/>
      <c r="D17" s="125"/>
      <c r="E17" s="285">
        <f t="shared" si="0"/>
        <v>0</v>
      </c>
      <c r="F17" s="286">
        <f t="shared" si="1"/>
        <v>0</v>
      </c>
      <c r="G17" s="284">
        <f t="shared" si="2"/>
        <v>0</v>
      </c>
    </row>
    <row r="18" spans="1:7" x14ac:dyDescent="0.25">
      <c r="A18" s="123"/>
      <c r="B18" s="124"/>
      <c r="C18" s="124"/>
      <c r="D18" s="125"/>
      <c r="E18" s="285">
        <f t="shared" si="0"/>
        <v>0</v>
      </c>
      <c r="F18" s="286">
        <f t="shared" si="1"/>
        <v>0</v>
      </c>
      <c r="G18" s="284">
        <f t="shared" si="2"/>
        <v>0</v>
      </c>
    </row>
    <row r="19" spans="1:7" x14ac:dyDescent="0.25">
      <c r="A19" s="123"/>
      <c r="B19" s="124"/>
      <c r="C19" s="124"/>
      <c r="D19" s="125"/>
      <c r="E19" s="285">
        <f t="shared" si="0"/>
        <v>0</v>
      </c>
      <c r="F19" s="286">
        <f t="shared" si="1"/>
        <v>0</v>
      </c>
      <c r="G19" s="284">
        <f t="shared" si="2"/>
        <v>0</v>
      </c>
    </row>
    <row r="20" spans="1:7" x14ac:dyDescent="0.25">
      <c r="A20" s="123"/>
      <c r="B20" s="124"/>
      <c r="C20" s="124"/>
      <c r="D20" s="125"/>
      <c r="E20" s="285">
        <f t="shared" si="0"/>
        <v>0</v>
      </c>
      <c r="F20" s="286">
        <f t="shared" si="1"/>
        <v>0</v>
      </c>
      <c r="G20" s="284">
        <f t="shared" si="2"/>
        <v>0</v>
      </c>
    </row>
    <row r="21" spans="1:7" x14ac:dyDescent="0.25">
      <c r="A21" s="123"/>
      <c r="B21" s="124"/>
      <c r="C21" s="124"/>
      <c r="D21" s="125"/>
      <c r="E21" s="285">
        <f t="shared" si="0"/>
        <v>0</v>
      </c>
      <c r="F21" s="286">
        <f t="shared" si="1"/>
        <v>0</v>
      </c>
      <c r="G21" s="284">
        <f t="shared" si="2"/>
        <v>0</v>
      </c>
    </row>
    <row r="22" spans="1:7" x14ac:dyDescent="0.25">
      <c r="A22" s="123"/>
      <c r="B22" s="124"/>
      <c r="C22" s="124"/>
      <c r="D22" s="125"/>
      <c r="E22" s="285">
        <f t="shared" si="0"/>
        <v>0</v>
      </c>
      <c r="F22" s="286">
        <f t="shared" si="1"/>
        <v>0</v>
      </c>
      <c r="G22" s="284">
        <f t="shared" si="2"/>
        <v>0</v>
      </c>
    </row>
    <row r="23" spans="1:7" x14ac:dyDescent="0.25">
      <c r="A23" s="123"/>
      <c r="B23" s="124"/>
      <c r="C23" s="124"/>
      <c r="D23" s="125"/>
      <c r="E23" s="285">
        <f t="shared" si="0"/>
        <v>0</v>
      </c>
      <c r="F23" s="286">
        <f t="shared" si="1"/>
        <v>0</v>
      </c>
      <c r="G23" s="284">
        <f t="shared" si="2"/>
        <v>0</v>
      </c>
    </row>
    <row r="24" spans="1:7" x14ac:dyDescent="0.25">
      <c r="A24" s="123"/>
      <c r="B24" s="124"/>
      <c r="C24" s="124"/>
      <c r="D24" s="125"/>
      <c r="E24" s="285">
        <f t="shared" si="0"/>
        <v>0</v>
      </c>
      <c r="F24" s="286">
        <f t="shared" si="1"/>
        <v>0</v>
      </c>
      <c r="G24" s="284">
        <f t="shared" si="2"/>
        <v>0</v>
      </c>
    </row>
    <row r="25" spans="1:7" x14ac:dyDescent="0.25">
      <c r="A25" s="123"/>
      <c r="B25" s="124"/>
      <c r="C25" s="124"/>
      <c r="D25" s="125"/>
      <c r="E25" s="285">
        <f t="shared" si="0"/>
        <v>0</v>
      </c>
      <c r="F25" s="286">
        <f t="shared" si="1"/>
        <v>0</v>
      </c>
      <c r="G25" s="284">
        <f t="shared" si="2"/>
        <v>0</v>
      </c>
    </row>
    <row r="26" spans="1:7" x14ac:dyDescent="0.25">
      <c r="A26" s="123"/>
      <c r="B26" s="124"/>
      <c r="C26" s="124"/>
      <c r="D26" s="125"/>
      <c r="E26" s="285">
        <f t="shared" si="0"/>
        <v>0</v>
      </c>
      <c r="F26" s="286">
        <f t="shared" si="1"/>
        <v>0</v>
      </c>
      <c r="G26" s="284">
        <f t="shared" si="2"/>
        <v>0</v>
      </c>
    </row>
    <row r="27" spans="1:7" x14ac:dyDescent="0.25">
      <c r="A27" s="123"/>
      <c r="B27" s="124"/>
      <c r="C27" s="124"/>
      <c r="D27" s="125"/>
      <c r="E27" s="285">
        <f t="shared" si="0"/>
        <v>0</v>
      </c>
      <c r="F27" s="286">
        <f t="shared" si="1"/>
        <v>0</v>
      </c>
      <c r="G27" s="284">
        <f t="shared" si="2"/>
        <v>0</v>
      </c>
    </row>
    <row r="28" spans="1:7" x14ac:dyDescent="0.25">
      <c r="A28" s="123"/>
      <c r="B28" s="124"/>
      <c r="C28" s="124"/>
      <c r="D28" s="125"/>
      <c r="E28" s="285">
        <f t="shared" si="0"/>
        <v>0</v>
      </c>
      <c r="F28" s="286">
        <f t="shared" si="1"/>
        <v>0</v>
      </c>
      <c r="G28" s="284">
        <f t="shared" si="2"/>
        <v>0</v>
      </c>
    </row>
    <row r="29" spans="1:7" x14ac:dyDescent="0.25">
      <c r="A29" s="123"/>
      <c r="B29" s="124"/>
      <c r="C29" s="124"/>
      <c r="D29" s="125"/>
      <c r="E29" s="285">
        <f t="shared" si="0"/>
        <v>0</v>
      </c>
      <c r="F29" s="286">
        <f t="shared" si="1"/>
        <v>0</v>
      </c>
      <c r="G29" s="284">
        <f t="shared" si="2"/>
        <v>0</v>
      </c>
    </row>
    <row r="30" spans="1:7" x14ac:dyDescent="0.25">
      <c r="A30" s="123"/>
      <c r="B30" s="124"/>
      <c r="C30" s="124"/>
      <c r="D30" s="125"/>
      <c r="E30" s="285">
        <f t="shared" si="0"/>
        <v>0</v>
      </c>
      <c r="F30" s="286">
        <f t="shared" si="1"/>
        <v>0</v>
      </c>
      <c r="G30" s="284">
        <f t="shared" si="2"/>
        <v>0</v>
      </c>
    </row>
    <row r="31" spans="1:7" x14ac:dyDescent="0.25">
      <c r="A31" s="123"/>
      <c r="B31" s="124"/>
      <c r="C31" s="124"/>
      <c r="D31" s="125"/>
      <c r="E31" s="285">
        <f t="shared" si="0"/>
        <v>0</v>
      </c>
      <c r="F31" s="286">
        <f t="shared" si="1"/>
        <v>0</v>
      </c>
      <c r="G31" s="284">
        <f t="shared" si="2"/>
        <v>0</v>
      </c>
    </row>
    <row r="32" spans="1:7" x14ac:dyDescent="0.25">
      <c r="A32" s="123"/>
      <c r="B32" s="124"/>
      <c r="C32" s="124"/>
      <c r="D32" s="125"/>
      <c r="E32" s="285">
        <f t="shared" si="0"/>
        <v>0</v>
      </c>
      <c r="F32" s="286">
        <f t="shared" si="1"/>
        <v>0</v>
      </c>
      <c r="G32" s="284">
        <f t="shared" si="2"/>
        <v>0</v>
      </c>
    </row>
    <row r="33" spans="1:7" x14ac:dyDescent="0.25">
      <c r="A33" s="123"/>
      <c r="B33" s="124"/>
      <c r="C33" s="124"/>
      <c r="D33" s="125"/>
      <c r="E33" s="285">
        <f t="shared" si="0"/>
        <v>0</v>
      </c>
      <c r="F33" s="286">
        <f t="shared" si="1"/>
        <v>0</v>
      </c>
      <c r="G33" s="284">
        <f t="shared" si="2"/>
        <v>0</v>
      </c>
    </row>
    <row r="34" spans="1:7" x14ac:dyDescent="0.25">
      <c r="A34" s="123"/>
      <c r="B34" s="124"/>
      <c r="C34" s="124"/>
      <c r="D34" s="125"/>
      <c r="E34" s="285">
        <f t="shared" si="0"/>
        <v>0</v>
      </c>
      <c r="F34" s="286">
        <f t="shared" si="1"/>
        <v>0</v>
      </c>
      <c r="G34" s="284">
        <f t="shared" si="2"/>
        <v>0</v>
      </c>
    </row>
    <row r="35" spans="1:7" x14ac:dyDescent="0.25">
      <c r="A35" s="123"/>
      <c r="B35" s="124"/>
      <c r="C35" s="124"/>
      <c r="D35" s="125"/>
      <c r="E35" s="285">
        <f t="shared" si="0"/>
        <v>0</v>
      </c>
      <c r="F35" s="286">
        <f t="shared" si="1"/>
        <v>0</v>
      </c>
      <c r="G35" s="284">
        <f t="shared" si="2"/>
        <v>0</v>
      </c>
    </row>
    <row r="36" spans="1:7" x14ac:dyDescent="0.25">
      <c r="A36" s="123"/>
      <c r="B36" s="124"/>
      <c r="C36" s="124"/>
      <c r="D36" s="125"/>
      <c r="E36" s="285">
        <f t="shared" si="0"/>
        <v>0</v>
      </c>
      <c r="F36" s="286">
        <f t="shared" si="1"/>
        <v>0</v>
      </c>
      <c r="G36" s="284">
        <f t="shared" si="2"/>
        <v>0</v>
      </c>
    </row>
    <row r="37" spans="1:7" x14ac:dyDescent="0.25">
      <c r="A37" s="123"/>
      <c r="B37" s="124"/>
      <c r="C37" s="124"/>
      <c r="D37" s="125"/>
      <c r="E37" s="285">
        <f t="shared" si="0"/>
        <v>0</v>
      </c>
      <c r="F37" s="286">
        <f t="shared" si="1"/>
        <v>0</v>
      </c>
      <c r="G37" s="284">
        <f t="shared" si="2"/>
        <v>0</v>
      </c>
    </row>
    <row r="38" spans="1:7" x14ac:dyDescent="0.25">
      <c r="A38" s="123"/>
      <c r="B38" s="124"/>
      <c r="C38" s="124"/>
      <c r="D38" s="125"/>
      <c r="E38" s="285">
        <f t="shared" ref="E38:E65" si="3">+D38*$E$7</f>
        <v>0</v>
      </c>
      <c r="F38" s="286">
        <f t="shared" ref="F38:F65" si="4">+D38*$F$7</f>
        <v>0</v>
      </c>
      <c r="G38" s="284">
        <f t="shared" si="2"/>
        <v>0</v>
      </c>
    </row>
    <row r="39" spans="1:7" x14ac:dyDescent="0.25">
      <c r="A39" s="123"/>
      <c r="B39" s="124"/>
      <c r="C39" s="124"/>
      <c r="D39" s="125"/>
      <c r="E39" s="285">
        <f t="shared" si="3"/>
        <v>0</v>
      </c>
      <c r="F39" s="286">
        <f t="shared" si="4"/>
        <v>0</v>
      </c>
      <c r="G39" s="284">
        <f t="shared" si="2"/>
        <v>0</v>
      </c>
    </row>
    <row r="40" spans="1:7" x14ac:dyDescent="0.25">
      <c r="A40" s="123"/>
      <c r="B40" s="124"/>
      <c r="C40" s="124"/>
      <c r="D40" s="125"/>
      <c r="E40" s="285">
        <f t="shared" si="3"/>
        <v>0</v>
      </c>
      <c r="F40" s="286">
        <f t="shared" si="4"/>
        <v>0</v>
      </c>
      <c r="G40" s="284">
        <f t="shared" si="2"/>
        <v>0</v>
      </c>
    </row>
    <row r="41" spans="1:7" x14ac:dyDescent="0.25">
      <c r="A41" s="123"/>
      <c r="B41" s="124"/>
      <c r="C41" s="124"/>
      <c r="D41" s="125"/>
      <c r="E41" s="285">
        <f t="shared" si="3"/>
        <v>0</v>
      </c>
      <c r="F41" s="286">
        <f t="shared" si="4"/>
        <v>0</v>
      </c>
      <c r="G41" s="284">
        <f t="shared" si="2"/>
        <v>0</v>
      </c>
    </row>
    <row r="42" spans="1:7" x14ac:dyDescent="0.25">
      <c r="A42" s="123"/>
      <c r="B42" s="124"/>
      <c r="C42" s="124"/>
      <c r="D42" s="125"/>
      <c r="E42" s="285">
        <f t="shared" si="3"/>
        <v>0</v>
      </c>
      <c r="F42" s="286">
        <f t="shared" si="4"/>
        <v>0</v>
      </c>
      <c r="G42" s="284">
        <f t="shared" si="2"/>
        <v>0</v>
      </c>
    </row>
    <row r="43" spans="1:7" x14ac:dyDescent="0.25">
      <c r="A43" s="123"/>
      <c r="B43" s="124"/>
      <c r="C43" s="124"/>
      <c r="D43" s="125"/>
      <c r="E43" s="285">
        <f t="shared" si="3"/>
        <v>0</v>
      </c>
      <c r="F43" s="286">
        <f t="shared" si="4"/>
        <v>0</v>
      </c>
      <c r="G43" s="284">
        <f t="shared" si="2"/>
        <v>0</v>
      </c>
    </row>
    <row r="44" spans="1:7" x14ac:dyDescent="0.25">
      <c r="A44" s="123"/>
      <c r="B44" s="124"/>
      <c r="C44" s="124"/>
      <c r="D44" s="125"/>
      <c r="E44" s="285">
        <f t="shared" si="3"/>
        <v>0</v>
      </c>
      <c r="F44" s="286">
        <f t="shared" si="4"/>
        <v>0</v>
      </c>
      <c r="G44" s="284">
        <f t="shared" si="2"/>
        <v>0</v>
      </c>
    </row>
    <row r="45" spans="1:7" x14ac:dyDescent="0.25">
      <c r="A45" s="123"/>
      <c r="B45" s="124"/>
      <c r="C45" s="124"/>
      <c r="D45" s="125"/>
      <c r="E45" s="285">
        <f t="shared" si="3"/>
        <v>0</v>
      </c>
      <c r="F45" s="286">
        <f t="shared" si="4"/>
        <v>0</v>
      </c>
      <c r="G45" s="284">
        <f t="shared" si="2"/>
        <v>0</v>
      </c>
    </row>
    <row r="46" spans="1:7" x14ac:dyDescent="0.25">
      <c r="A46" s="123"/>
      <c r="B46" s="124"/>
      <c r="C46" s="124"/>
      <c r="D46" s="125"/>
      <c r="E46" s="285">
        <f t="shared" si="3"/>
        <v>0</v>
      </c>
      <c r="F46" s="286">
        <f t="shared" si="4"/>
        <v>0</v>
      </c>
      <c r="G46" s="284">
        <f t="shared" si="2"/>
        <v>0</v>
      </c>
    </row>
    <row r="47" spans="1:7" x14ac:dyDescent="0.25">
      <c r="A47" s="123"/>
      <c r="B47" s="124"/>
      <c r="C47" s="124"/>
      <c r="D47" s="125"/>
      <c r="E47" s="285">
        <f t="shared" si="3"/>
        <v>0</v>
      </c>
      <c r="F47" s="286">
        <f t="shared" si="4"/>
        <v>0</v>
      </c>
      <c r="G47" s="284">
        <f t="shared" si="2"/>
        <v>0</v>
      </c>
    </row>
    <row r="48" spans="1:7" x14ac:dyDescent="0.25">
      <c r="A48" s="123"/>
      <c r="B48" s="124"/>
      <c r="C48" s="124"/>
      <c r="D48" s="125"/>
      <c r="E48" s="285">
        <f t="shared" si="3"/>
        <v>0</v>
      </c>
      <c r="F48" s="286">
        <f t="shared" si="4"/>
        <v>0</v>
      </c>
      <c r="G48" s="284">
        <f t="shared" si="2"/>
        <v>0</v>
      </c>
    </row>
    <row r="49" spans="1:7" x14ac:dyDescent="0.25">
      <c r="A49" s="123"/>
      <c r="B49" s="124"/>
      <c r="C49" s="124"/>
      <c r="D49" s="125"/>
      <c r="E49" s="285">
        <f t="shared" si="3"/>
        <v>0</v>
      </c>
      <c r="F49" s="286">
        <f t="shared" si="4"/>
        <v>0</v>
      </c>
      <c r="G49" s="284">
        <f t="shared" si="2"/>
        <v>0</v>
      </c>
    </row>
    <row r="50" spans="1:7" x14ac:dyDescent="0.25">
      <c r="A50" s="123"/>
      <c r="B50" s="124"/>
      <c r="C50" s="124"/>
      <c r="D50" s="125"/>
      <c r="E50" s="285">
        <f t="shared" si="3"/>
        <v>0</v>
      </c>
      <c r="F50" s="286">
        <f t="shared" si="4"/>
        <v>0</v>
      </c>
      <c r="G50" s="284">
        <f t="shared" si="2"/>
        <v>0</v>
      </c>
    </row>
    <row r="51" spans="1:7" x14ac:dyDescent="0.25">
      <c r="A51" s="123"/>
      <c r="B51" s="124"/>
      <c r="C51" s="124"/>
      <c r="D51" s="125"/>
      <c r="E51" s="285">
        <f t="shared" si="3"/>
        <v>0</v>
      </c>
      <c r="F51" s="286">
        <f t="shared" si="4"/>
        <v>0</v>
      </c>
      <c r="G51" s="284">
        <f>+D51*$G$7</f>
        <v>0</v>
      </c>
    </row>
    <row r="52" spans="1:7" x14ac:dyDescent="0.25">
      <c r="A52" s="123"/>
      <c r="B52" s="124"/>
      <c r="C52" s="124"/>
      <c r="D52" s="125"/>
      <c r="E52" s="285">
        <f t="shared" si="3"/>
        <v>0</v>
      </c>
      <c r="F52" s="286">
        <f t="shared" si="4"/>
        <v>0</v>
      </c>
      <c r="G52" s="284">
        <f t="shared" si="2"/>
        <v>0</v>
      </c>
    </row>
    <row r="53" spans="1:7" x14ac:dyDescent="0.25">
      <c r="A53" s="123"/>
      <c r="B53" s="124"/>
      <c r="C53" s="124"/>
      <c r="D53" s="125"/>
      <c r="E53" s="285">
        <f t="shared" si="3"/>
        <v>0</v>
      </c>
      <c r="F53" s="286">
        <f t="shared" si="4"/>
        <v>0</v>
      </c>
      <c r="G53" s="284">
        <f t="shared" si="2"/>
        <v>0</v>
      </c>
    </row>
    <row r="54" spans="1:7" x14ac:dyDescent="0.25">
      <c r="A54" s="123"/>
      <c r="B54" s="124"/>
      <c r="C54" s="124"/>
      <c r="D54" s="125"/>
      <c r="E54" s="285">
        <f t="shared" si="3"/>
        <v>0</v>
      </c>
      <c r="F54" s="286">
        <f t="shared" si="4"/>
        <v>0</v>
      </c>
      <c r="G54" s="284">
        <f t="shared" si="2"/>
        <v>0</v>
      </c>
    </row>
    <row r="55" spans="1:7" x14ac:dyDescent="0.25">
      <c r="A55" s="123"/>
      <c r="B55" s="124"/>
      <c r="C55" s="124"/>
      <c r="D55" s="125"/>
      <c r="E55" s="285">
        <f t="shared" si="3"/>
        <v>0</v>
      </c>
      <c r="F55" s="286">
        <f t="shared" si="4"/>
        <v>0</v>
      </c>
      <c r="G55" s="284">
        <f t="shared" si="2"/>
        <v>0</v>
      </c>
    </row>
    <row r="56" spans="1:7" x14ac:dyDescent="0.25">
      <c r="A56" s="123"/>
      <c r="B56" s="124"/>
      <c r="C56" s="124"/>
      <c r="D56" s="125"/>
      <c r="E56" s="285">
        <f t="shared" si="3"/>
        <v>0</v>
      </c>
      <c r="F56" s="286">
        <f t="shared" si="4"/>
        <v>0</v>
      </c>
      <c r="G56" s="284">
        <f t="shared" si="2"/>
        <v>0</v>
      </c>
    </row>
    <row r="57" spans="1:7" x14ac:dyDescent="0.25">
      <c r="A57" s="123"/>
      <c r="B57" s="124"/>
      <c r="C57" s="124"/>
      <c r="D57" s="125"/>
      <c r="E57" s="285">
        <f t="shared" si="3"/>
        <v>0</v>
      </c>
      <c r="F57" s="286">
        <f t="shared" si="4"/>
        <v>0</v>
      </c>
      <c r="G57" s="284">
        <f t="shared" si="2"/>
        <v>0</v>
      </c>
    </row>
    <row r="58" spans="1:7" x14ac:dyDescent="0.25">
      <c r="A58" s="123"/>
      <c r="B58" s="124"/>
      <c r="C58" s="124"/>
      <c r="D58" s="125"/>
      <c r="E58" s="285">
        <f t="shared" si="3"/>
        <v>0</v>
      </c>
      <c r="F58" s="286">
        <f t="shared" si="4"/>
        <v>0</v>
      </c>
      <c r="G58" s="284">
        <f t="shared" si="2"/>
        <v>0</v>
      </c>
    </row>
    <row r="59" spans="1:7" x14ac:dyDescent="0.25">
      <c r="A59" s="123"/>
      <c r="B59" s="124"/>
      <c r="C59" s="124"/>
      <c r="D59" s="125"/>
      <c r="E59" s="285">
        <f t="shared" si="3"/>
        <v>0</v>
      </c>
      <c r="F59" s="286">
        <f t="shared" si="4"/>
        <v>0</v>
      </c>
      <c r="G59" s="284">
        <f t="shared" si="2"/>
        <v>0</v>
      </c>
    </row>
    <row r="60" spans="1:7" x14ac:dyDescent="0.25">
      <c r="A60" s="123"/>
      <c r="B60" s="124"/>
      <c r="C60" s="124"/>
      <c r="D60" s="125"/>
      <c r="E60" s="285">
        <f t="shared" ref="E60:E61" si="5">+D60*$E$7</f>
        <v>0</v>
      </c>
      <c r="F60" s="286">
        <f t="shared" ref="F60:F61" si="6">+D60*$F$7</f>
        <v>0</v>
      </c>
      <c r="G60" s="284">
        <f t="shared" ref="G60:G61" si="7">+D60*$G$7</f>
        <v>0</v>
      </c>
    </row>
    <row r="61" spans="1:7" x14ac:dyDescent="0.25">
      <c r="A61" s="123"/>
      <c r="B61" s="124"/>
      <c r="C61" s="124"/>
      <c r="D61" s="125"/>
      <c r="E61" s="285">
        <f t="shared" si="5"/>
        <v>0</v>
      </c>
      <c r="F61" s="286">
        <f t="shared" si="6"/>
        <v>0</v>
      </c>
      <c r="G61" s="284">
        <f t="shared" si="7"/>
        <v>0</v>
      </c>
    </row>
    <row r="62" spans="1:7" x14ac:dyDescent="0.25">
      <c r="A62" s="123"/>
      <c r="B62" s="124"/>
      <c r="C62" s="124"/>
      <c r="D62" s="125"/>
      <c r="E62" s="285">
        <f t="shared" si="3"/>
        <v>0</v>
      </c>
      <c r="F62" s="286">
        <f t="shared" si="4"/>
        <v>0</v>
      </c>
      <c r="G62" s="284">
        <f t="shared" si="2"/>
        <v>0</v>
      </c>
    </row>
    <row r="63" spans="1:7" x14ac:dyDescent="0.25">
      <c r="A63" s="123"/>
      <c r="B63" s="124"/>
      <c r="C63" s="124"/>
      <c r="D63" s="125"/>
      <c r="E63" s="285">
        <f t="shared" si="3"/>
        <v>0</v>
      </c>
      <c r="F63" s="286">
        <f t="shared" si="4"/>
        <v>0</v>
      </c>
      <c r="G63" s="284">
        <f t="shared" si="2"/>
        <v>0</v>
      </c>
    </row>
    <row r="64" spans="1:7" x14ac:dyDescent="0.25">
      <c r="A64" s="123"/>
      <c r="B64" s="124"/>
      <c r="C64" s="124"/>
      <c r="D64" s="125"/>
      <c r="E64" s="285">
        <f t="shared" si="3"/>
        <v>0</v>
      </c>
      <c r="F64" s="286">
        <f t="shared" si="4"/>
        <v>0</v>
      </c>
      <c r="G64" s="284">
        <f t="shared" si="2"/>
        <v>0</v>
      </c>
    </row>
    <row r="65" spans="1:10" ht="16.5" thickBot="1" x14ac:dyDescent="0.3">
      <c r="A65" s="126"/>
      <c r="B65" s="127"/>
      <c r="C65" s="127"/>
      <c r="D65" s="125"/>
      <c r="E65" s="287">
        <f t="shared" si="3"/>
        <v>0</v>
      </c>
      <c r="F65" s="288">
        <f t="shared" si="4"/>
        <v>0</v>
      </c>
      <c r="G65" s="284">
        <f t="shared" si="2"/>
        <v>0</v>
      </c>
    </row>
    <row r="66" spans="1:10" ht="16.5" thickBot="1" x14ac:dyDescent="0.3">
      <c r="A66" s="629" t="s">
        <v>98</v>
      </c>
      <c r="B66" s="630"/>
      <c r="C66" s="630"/>
      <c r="D66" s="158">
        <f>+SUM(D9:D65)</f>
        <v>0</v>
      </c>
      <c r="E66" s="158">
        <f>+SUM(E9:E65)</f>
        <v>0</v>
      </c>
      <c r="F66" s="159">
        <f>+SUM(F9:F65)</f>
        <v>0</v>
      </c>
      <c r="G66" s="159">
        <f>+SUM(G9:G65)</f>
        <v>0</v>
      </c>
      <c r="I66" s="108" t="s">
        <v>265</v>
      </c>
      <c r="J66" s="160">
        <f>D66-G66-F66-E66</f>
        <v>0</v>
      </c>
    </row>
    <row r="67" spans="1:10" ht="16.5" thickBot="1" x14ac:dyDescent="0.3">
      <c r="A67" s="129"/>
      <c r="B67" s="130"/>
      <c r="C67" s="130"/>
      <c r="D67" s="130"/>
      <c r="E67" s="131"/>
      <c r="F67" s="130"/>
      <c r="G67" s="132"/>
    </row>
    <row r="68" spans="1:10" ht="16.5" thickBot="1" x14ac:dyDescent="0.3">
      <c r="A68" s="629" t="s">
        <v>96</v>
      </c>
      <c r="B68" s="631"/>
      <c r="C68" s="631"/>
      <c r="D68" s="623"/>
      <c r="E68" s="161">
        <v>0</v>
      </c>
      <c r="F68" s="162">
        <v>1</v>
      </c>
      <c r="G68" s="161">
        <v>0</v>
      </c>
    </row>
    <row r="69" spans="1:10" ht="30.75" thickBot="1" x14ac:dyDescent="0.3">
      <c r="A69" s="632" t="s">
        <v>0</v>
      </c>
      <c r="B69" s="632" t="s">
        <v>1</v>
      </c>
      <c r="C69" s="633" t="s">
        <v>99</v>
      </c>
      <c r="D69" s="634" t="s">
        <v>101</v>
      </c>
      <c r="E69" s="635" t="s">
        <v>100</v>
      </c>
      <c r="F69" s="636" t="s">
        <v>19</v>
      </c>
      <c r="G69" s="628" t="s">
        <v>107</v>
      </c>
    </row>
    <row r="70" spans="1:10" x14ac:dyDescent="0.25">
      <c r="A70" s="124"/>
      <c r="B70" s="124"/>
      <c r="C70" s="124"/>
      <c r="D70" s="125"/>
      <c r="E70" s="289">
        <f>+D70*$E$68</f>
        <v>0</v>
      </c>
      <c r="F70" s="290">
        <f>+D70*$F$68</f>
        <v>0</v>
      </c>
      <c r="G70" s="284">
        <f>+D70*$G$68</f>
        <v>0</v>
      </c>
    </row>
    <row r="71" spans="1:10" x14ac:dyDescent="0.25">
      <c r="A71" s="124"/>
      <c r="B71" s="124"/>
      <c r="C71" s="124"/>
      <c r="D71" s="125"/>
      <c r="E71" s="289">
        <f t="shared" ref="E71:E90" si="8">+D71*$E$68</f>
        <v>0</v>
      </c>
      <c r="F71" s="290">
        <f t="shared" ref="F71:F90" si="9">+D71*$F$68</f>
        <v>0</v>
      </c>
      <c r="G71" s="284">
        <f t="shared" ref="G71:G90" si="10">+D71*$G$68</f>
        <v>0</v>
      </c>
    </row>
    <row r="72" spans="1:10" x14ac:dyDescent="0.25">
      <c r="A72" s="124"/>
      <c r="B72" s="124"/>
      <c r="C72" s="124"/>
      <c r="D72" s="125"/>
      <c r="E72" s="289">
        <f t="shared" si="8"/>
        <v>0</v>
      </c>
      <c r="F72" s="290">
        <f t="shared" si="9"/>
        <v>0</v>
      </c>
      <c r="G72" s="284">
        <f t="shared" si="10"/>
        <v>0</v>
      </c>
    </row>
    <row r="73" spans="1:10" x14ac:dyDescent="0.25">
      <c r="A73" s="124"/>
      <c r="B73" s="124"/>
      <c r="C73" s="124"/>
      <c r="D73" s="125"/>
      <c r="E73" s="289">
        <f t="shared" si="8"/>
        <v>0</v>
      </c>
      <c r="F73" s="290">
        <f t="shared" si="9"/>
        <v>0</v>
      </c>
      <c r="G73" s="284">
        <f t="shared" si="10"/>
        <v>0</v>
      </c>
    </row>
    <row r="74" spans="1:10" x14ac:dyDescent="0.25">
      <c r="A74" s="124"/>
      <c r="B74" s="124"/>
      <c r="C74" s="124"/>
      <c r="D74" s="125"/>
      <c r="E74" s="289">
        <f t="shared" si="8"/>
        <v>0</v>
      </c>
      <c r="F74" s="290">
        <f t="shared" si="9"/>
        <v>0</v>
      </c>
      <c r="G74" s="284">
        <f t="shared" si="10"/>
        <v>0</v>
      </c>
    </row>
    <row r="75" spans="1:10" x14ac:dyDescent="0.25">
      <c r="A75" s="124"/>
      <c r="B75" s="124"/>
      <c r="C75" s="124"/>
      <c r="D75" s="125"/>
      <c r="E75" s="289">
        <f t="shared" si="8"/>
        <v>0</v>
      </c>
      <c r="F75" s="290">
        <f t="shared" si="9"/>
        <v>0</v>
      </c>
      <c r="G75" s="284">
        <f t="shared" si="10"/>
        <v>0</v>
      </c>
    </row>
    <row r="76" spans="1:10" x14ac:dyDescent="0.25">
      <c r="A76" s="124"/>
      <c r="B76" s="124"/>
      <c r="C76" s="124"/>
      <c r="D76" s="125"/>
      <c r="E76" s="289">
        <f t="shared" si="8"/>
        <v>0</v>
      </c>
      <c r="F76" s="290">
        <f t="shared" si="9"/>
        <v>0</v>
      </c>
      <c r="G76" s="284">
        <f t="shared" si="10"/>
        <v>0</v>
      </c>
    </row>
    <row r="77" spans="1:10" x14ac:dyDescent="0.25">
      <c r="A77" s="124"/>
      <c r="B77" s="124"/>
      <c r="C77" s="124"/>
      <c r="D77" s="125"/>
      <c r="E77" s="289">
        <f t="shared" si="8"/>
        <v>0</v>
      </c>
      <c r="F77" s="290">
        <f t="shared" si="9"/>
        <v>0</v>
      </c>
      <c r="G77" s="284">
        <f t="shared" si="10"/>
        <v>0</v>
      </c>
    </row>
    <row r="78" spans="1:10" x14ac:dyDescent="0.25">
      <c r="A78" s="124"/>
      <c r="B78" s="124"/>
      <c r="C78" s="124"/>
      <c r="D78" s="125"/>
      <c r="E78" s="289">
        <f t="shared" si="8"/>
        <v>0</v>
      </c>
      <c r="F78" s="290">
        <f t="shared" si="9"/>
        <v>0</v>
      </c>
      <c r="G78" s="284">
        <f t="shared" si="10"/>
        <v>0</v>
      </c>
    </row>
    <row r="79" spans="1:10" x14ac:dyDescent="0.25">
      <c r="A79" s="124"/>
      <c r="B79" s="124"/>
      <c r="C79" s="124"/>
      <c r="D79" s="125"/>
      <c r="E79" s="289">
        <f t="shared" si="8"/>
        <v>0</v>
      </c>
      <c r="F79" s="290">
        <f t="shared" si="9"/>
        <v>0</v>
      </c>
      <c r="G79" s="284">
        <f t="shared" si="10"/>
        <v>0</v>
      </c>
    </row>
    <row r="80" spans="1:10" x14ac:dyDescent="0.25">
      <c r="A80" s="124"/>
      <c r="B80" s="124"/>
      <c r="C80" s="124"/>
      <c r="D80" s="125"/>
      <c r="E80" s="289">
        <f t="shared" si="8"/>
        <v>0</v>
      </c>
      <c r="F80" s="290">
        <f t="shared" si="9"/>
        <v>0</v>
      </c>
      <c r="G80" s="284">
        <f t="shared" si="10"/>
        <v>0</v>
      </c>
    </row>
    <row r="81" spans="1:10" x14ac:dyDescent="0.25">
      <c r="A81" s="124"/>
      <c r="B81" s="124"/>
      <c r="C81" s="124"/>
      <c r="D81" s="125"/>
      <c r="E81" s="289">
        <f t="shared" si="8"/>
        <v>0</v>
      </c>
      <c r="F81" s="290">
        <f t="shared" si="9"/>
        <v>0</v>
      </c>
      <c r="G81" s="284">
        <f t="shared" si="10"/>
        <v>0</v>
      </c>
    </row>
    <row r="82" spans="1:10" x14ac:dyDescent="0.25">
      <c r="A82" s="124"/>
      <c r="B82" s="124"/>
      <c r="C82" s="124"/>
      <c r="D82" s="125"/>
      <c r="E82" s="289">
        <f t="shared" si="8"/>
        <v>0</v>
      </c>
      <c r="F82" s="290">
        <f t="shared" si="9"/>
        <v>0</v>
      </c>
      <c r="G82" s="284">
        <f t="shared" si="10"/>
        <v>0</v>
      </c>
    </row>
    <row r="83" spans="1:10" x14ac:dyDescent="0.25">
      <c r="A83" s="124"/>
      <c r="B83" s="124"/>
      <c r="C83" s="124"/>
      <c r="D83" s="125"/>
      <c r="E83" s="289">
        <f t="shared" si="8"/>
        <v>0</v>
      </c>
      <c r="F83" s="290">
        <f t="shared" si="9"/>
        <v>0</v>
      </c>
      <c r="G83" s="284">
        <f t="shared" si="10"/>
        <v>0</v>
      </c>
    </row>
    <row r="84" spans="1:10" x14ac:dyDescent="0.25">
      <c r="A84" s="124"/>
      <c r="B84" s="124"/>
      <c r="C84" s="124"/>
      <c r="D84" s="125"/>
      <c r="E84" s="289">
        <f t="shared" si="8"/>
        <v>0</v>
      </c>
      <c r="F84" s="290">
        <f t="shared" si="9"/>
        <v>0</v>
      </c>
      <c r="G84" s="284">
        <f t="shared" si="10"/>
        <v>0</v>
      </c>
    </row>
    <row r="85" spans="1:10" x14ac:dyDescent="0.25">
      <c r="A85" s="124"/>
      <c r="B85" s="124"/>
      <c r="C85" s="124"/>
      <c r="D85" s="125"/>
      <c r="E85" s="289">
        <f t="shared" si="8"/>
        <v>0</v>
      </c>
      <c r="F85" s="290">
        <f t="shared" si="9"/>
        <v>0</v>
      </c>
      <c r="G85" s="284">
        <f t="shared" si="10"/>
        <v>0</v>
      </c>
    </row>
    <row r="86" spans="1:10" x14ac:dyDescent="0.25">
      <c r="A86" s="124"/>
      <c r="B86" s="124"/>
      <c r="C86" s="124"/>
      <c r="D86" s="125"/>
      <c r="E86" s="289">
        <f t="shared" si="8"/>
        <v>0</v>
      </c>
      <c r="F86" s="290">
        <f t="shared" si="9"/>
        <v>0</v>
      </c>
      <c r="G86" s="284">
        <f t="shared" si="10"/>
        <v>0</v>
      </c>
    </row>
    <row r="87" spans="1:10" x14ac:dyDescent="0.25">
      <c r="A87" s="124"/>
      <c r="B87" s="124"/>
      <c r="C87" s="124"/>
      <c r="D87" s="125"/>
      <c r="E87" s="289">
        <f t="shared" si="8"/>
        <v>0</v>
      </c>
      <c r="F87" s="290">
        <f t="shared" si="9"/>
        <v>0</v>
      </c>
      <c r="G87" s="284">
        <f t="shared" si="10"/>
        <v>0</v>
      </c>
    </row>
    <row r="88" spans="1:10" x14ac:dyDescent="0.25">
      <c r="A88" s="124"/>
      <c r="B88" s="124"/>
      <c r="C88" s="124"/>
      <c r="D88" s="125"/>
      <c r="E88" s="289">
        <f t="shared" si="8"/>
        <v>0</v>
      </c>
      <c r="F88" s="290">
        <f t="shared" si="9"/>
        <v>0</v>
      </c>
      <c r="G88" s="284">
        <f t="shared" si="10"/>
        <v>0</v>
      </c>
    </row>
    <row r="89" spans="1:10" ht="15.75" x14ac:dyDescent="0.25">
      <c r="A89" s="133"/>
      <c r="B89" s="134"/>
      <c r="C89" s="134"/>
      <c r="D89" s="125"/>
      <c r="E89" s="289">
        <f t="shared" si="8"/>
        <v>0</v>
      </c>
      <c r="F89" s="290">
        <f t="shared" si="9"/>
        <v>0</v>
      </c>
      <c r="G89" s="284">
        <f t="shared" si="10"/>
        <v>0</v>
      </c>
    </row>
    <row r="90" spans="1:10" ht="16.5" thickBot="1" x14ac:dyDescent="0.3">
      <c r="A90" s="133"/>
      <c r="B90" s="134"/>
      <c r="C90" s="134"/>
      <c r="D90" s="125"/>
      <c r="E90" s="289">
        <f t="shared" si="8"/>
        <v>0</v>
      </c>
      <c r="F90" s="290">
        <f t="shared" si="9"/>
        <v>0</v>
      </c>
      <c r="G90" s="284">
        <f t="shared" si="10"/>
        <v>0</v>
      </c>
    </row>
    <row r="91" spans="1:10" ht="16.5" thickBot="1" x14ac:dyDescent="0.3">
      <c r="A91" s="629" t="s">
        <v>102</v>
      </c>
      <c r="B91" s="630"/>
      <c r="C91" s="630"/>
      <c r="D91" s="158">
        <f>+SUM(D70:D90)</f>
        <v>0</v>
      </c>
      <c r="E91" s="159">
        <f>+SUM(E70:E90)</f>
        <v>0</v>
      </c>
      <c r="F91" s="158">
        <f>+SUM(F70:F90)</f>
        <v>0</v>
      </c>
      <c r="G91" s="159">
        <f>+SUM(G70:G90)</f>
        <v>0</v>
      </c>
      <c r="I91" s="108" t="s">
        <v>265</v>
      </c>
      <c r="J91" s="160">
        <f>D91-G91-F91-E91</f>
        <v>0</v>
      </c>
    </row>
    <row r="92" spans="1:10" ht="16.5" thickBot="1" x14ac:dyDescent="0.3">
      <c r="A92" s="129"/>
      <c r="B92" s="130"/>
      <c r="C92" s="130"/>
      <c r="D92" s="130"/>
      <c r="E92" s="131"/>
      <c r="F92" s="130"/>
      <c r="G92" s="132"/>
    </row>
    <row r="93" spans="1:10" ht="16.5" thickBot="1" x14ac:dyDescent="0.3">
      <c r="A93" s="629" t="s">
        <v>97</v>
      </c>
      <c r="B93" s="631"/>
      <c r="C93" s="631"/>
      <c r="D93" s="631"/>
      <c r="E93" s="161">
        <v>0</v>
      </c>
      <c r="F93" s="161">
        <v>0</v>
      </c>
      <c r="G93" s="162">
        <v>1</v>
      </c>
    </row>
    <row r="94" spans="1:10" ht="30.75" thickBot="1" x14ac:dyDescent="0.3">
      <c r="A94" s="632" t="s">
        <v>0</v>
      </c>
      <c r="B94" s="632" t="s">
        <v>1</v>
      </c>
      <c r="C94" s="633" t="s">
        <v>99</v>
      </c>
      <c r="D94" s="634" t="s">
        <v>101</v>
      </c>
      <c r="E94" s="635" t="s">
        <v>100</v>
      </c>
      <c r="F94" s="635" t="s">
        <v>19</v>
      </c>
      <c r="G94" s="636" t="s">
        <v>107</v>
      </c>
    </row>
    <row r="95" spans="1:10" x14ac:dyDescent="0.25">
      <c r="A95" s="124"/>
      <c r="B95" s="134"/>
      <c r="C95" s="134"/>
      <c r="D95" s="125"/>
      <c r="E95" s="289">
        <f>+D95*$E$93</f>
        <v>0</v>
      </c>
      <c r="F95" s="284">
        <f>+D95*$F$93</f>
        <v>0</v>
      </c>
      <c r="G95" s="290">
        <f>+D95*$G$93</f>
        <v>0</v>
      </c>
    </row>
    <row r="96" spans="1:10" x14ac:dyDescent="0.25">
      <c r="A96" s="124"/>
      <c r="B96" s="134"/>
      <c r="C96" s="134"/>
      <c r="D96" s="125"/>
      <c r="E96" s="289">
        <f t="shared" ref="E96:E106" si="11">+D96*$E$93</f>
        <v>0</v>
      </c>
      <c r="F96" s="284">
        <f t="shared" ref="F96:F106" si="12">+D96*$F$93</f>
        <v>0</v>
      </c>
      <c r="G96" s="290">
        <f t="shared" ref="G96:G106" si="13">+D96*$G$93</f>
        <v>0</v>
      </c>
    </row>
    <row r="97" spans="1:11" x14ac:dyDescent="0.25">
      <c r="A97" s="124"/>
      <c r="B97" s="134"/>
      <c r="C97" s="134"/>
      <c r="D97" s="125"/>
      <c r="E97" s="289">
        <f t="shared" si="11"/>
        <v>0</v>
      </c>
      <c r="F97" s="284">
        <f t="shared" si="12"/>
        <v>0</v>
      </c>
      <c r="G97" s="290">
        <f t="shared" si="13"/>
        <v>0</v>
      </c>
    </row>
    <row r="98" spans="1:11" x14ac:dyDescent="0.25">
      <c r="A98" s="124"/>
      <c r="B98" s="134"/>
      <c r="C98" s="134"/>
      <c r="D98" s="125"/>
      <c r="E98" s="289">
        <f t="shared" si="11"/>
        <v>0</v>
      </c>
      <c r="F98" s="284">
        <f t="shared" si="12"/>
        <v>0</v>
      </c>
      <c r="G98" s="290">
        <f t="shared" si="13"/>
        <v>0</v>
      </c>
    </row>
    <row r="99" spans="1:11" x14ac:dyDescent="0.25">
      <c r="A99" s="124"/>
      <c r="B99" s="134"/>
      <c r="C99" s="134"/>
      <c r="D99" s="125"/>
      <c r="E99" s="291">
        <f t="shared" si="11"/>
        <v>0</v>
      </c>
      <c r="F99" s="172">
        <f t="shared" si="12"/>
        <v>0</v>
      </c>
      <c r="G99" s="172">
        <f t="shared" si="13"/>
        <v>0</v>
      </c>
      <c r="H99" s="135"/>
      <c r="I99" s="135"/>
      <c r="J99" s="135"/>
      <c r="K99" s="135"/>
    </row>
    <row r="100" spans="1:11" x14ac:dyDescent="0.25">
      <c r="A100" s="124"/>
      <c r="B100" s="134"/>
      <c r="C100" s="134"/>
      <c r="D100" s="125"/>
      <c r="E100" s="291">
        <f t="shared" si="11"/>
        <v>0</v>
      </c>
      <c r="F100" s="172">
        <f t="shared" si="12"/>
        <v>0</v>
      </c>
      <c r="G100" s="172">
        <f t="shared" si="13"/>
        <v>0</v>
      </c>
      <c r="H100" s="135"/>
      <c r="I100" s="135"/>
      <c r="J100" s="135"/>
      <c r="K100" s="135"/>
    </row>
    <row r="101" spans="1:11" x14ac:dyDescent="0.25">
      <c r="A101" s="136"/>
      <c r="B101" s="137"/>
      <c r="C101" s="137"/>
      <c r="D101" s="138"/>
      <c r="E101" s="291">
        <f t="shared" si="11"/>
        <v>0</v>
      </c>
      <c r="F101" s="172">
        <f t="shared" si="12"/>
        <v>0</v>
      </c>
      <c r="G101" s="172">
        <f t="shared" si="13"/>
        <v>0</v>
      </c>
      <c r="H101" s="135"/>
      <c r="I101" s="135"/>
      <c r="J101" s="135"/>
      <c r="K101" s="135"/>
    </row>
    <row r="102" spans="1:11" x14ac:dyDescent="0.25">
      <c r="A102" s="136"/>
      <c r="B102" s="137"/>
      <c r="C102" s="137"/>
      <c r="D102" s="138"/>
      <c r="E102" s="291">
        <f t="shared" si="11"/>
        <v>0</v>
      </c>
      <c r="F102" s="172">
        <f t="shared" si="12"/>
        <v>0</v>
      </c>
      <c r="G102" s="172">
        <f t="shared" si="13"/>
        <v>0</v>
      </c>
      <c r="H102" s="135"/>
      <c r="I102" s="135"/>
      <c r="J102" s="135"/>
      <c r="K102" s="135"/>
    </row>
    <row r="103" spans="1:11" x14ac:dyDescent="0.25">
      <c r="A103" s="136"/>
      <c r="B103" s="137"/>
      <c r="C103" s="137"/>
      <c r="D103" s="138"/>
      <c r="E103" s="291">
        <f t="shared" si="11"/>
        <v>0</v>
      </c>
      <c r="F103" s="172">
        <f t="shared" si="12"/>
        <v>0</v>
      </c>
      <c r="G103" s="172">
        <f t="shared" si="13"/>
        <v>0</v>
      </c>
      <c r="H103" s="135"/>
      <c r="I103" s="135"/>
      <c r="J103" s="135"/>
      <c r="K103" s="135"/>
    </row>
    <row r="104" spans="1:11" x14ac:dyDescent="0.25">
      <c r="A104" s="136"/>
      <c r="B104" s="137"/>
      <c r="C104" s="137"/>
      <c r="D104" s="138"/>
      <c r="E104" s="291">
        <f t="shared" si="11"/>
        <v>0</v>
      </c>
      <c r="F104" s="172">
        <f t="shared" si="12"/>
        <v>0</v>
      </c>
      <c r="G104" s="172">
        <f t="shared" si="13"/>
        <v>0</v>
      </c>
      <c r="H104" s="135"/>
      <c r="I104" s="135"/>
      <c r="J104" s="135"/>
      <c r="K104" s="135"/>
    </row>
    <row r="105" spans="1:11" x14ac:dyDescent="0.25">
      <c r="A105" s="137"/>
      <c r="B105" s="137"/>
      <c r="C105" s="137"/>
      <c r="D105" s="138"/>
      <c r="E105" s="291">
        <f t="shared" si="11"/>
        <v>0</v>
      </c>
      <c r="F105" s="172">
        <f t="shared" si="12"/>
        <v>0</v>
      </c>
      <c r="G105" s="172">
        <f t="shared" si="13"/>
        <v>0</v>
      </c>
      <c r="H105" s="135"/>
      <c r="I105" s="135"/>
      <c r="J105" s="135"/>
      <c r="K105" s="135"/>
    </row>
    <row r="106" spans="1:11" ht="15.75" thickBot="1" x14ac:dyDescent="0.3">
      <c r="A106" s="139"/>
      <c r="B106" s="140"/>
      <c r="C106" s="140"/>
      <c r="D106" s="141"/>
      <c r="E106" s="292">
        <f t="shared" si="11"/>
        <v>0</v>
      </c>
      <c r="F106" s="293">
        <f t="shared" si="12"/>
        <v>0</v>
      </c>
      <c r="G106" s="293">
        <f t="shared" si="13"/>
        <v>0</v>
      </c>
      <c r="H106" s="135"/>
      <c r="I106" s="135"/>
      <c r="J106" s="135"/>
      <c r="K106" s="135"/>
    </row>
    <row r="107" spans="1:11" ht="16.5" thickBot="1" x14ac:dyDescent="0.3">
      <c r="A107" s="637" t="s">
        <v>45</v>
      </c>
      <c r="B107" s="638"/>
      <c r="C107" s="638"/>
      <c r="D107" s="163">
        <f>+SUM(D95:D106)</f>
        <v>0</v>
      </c>
      <c r="E107" s="163">
        <f>+SUM(E95:E106)</f>
        <v>0</v>
      </c>
      <c r="F107" s="163">
        <f>+SUM(F95:F106)</f>
        <v>0</v>
      </c>
      <c r="G107" s="163">
        <f>+SUM(G95:G106)</f>
        <v>0</v>
      </c>
      <c r="H107" s="135"/>
      <c r="I107" s="108" t="s">
        <v>265</v>
      </c>
      <c r="J107" s="160">
        <f>D107-G107-F107-E107</f>
        <v>0</v>
      </c>
      <c r="K107" s="135"/>
    </row>
    <row r="108" spans="1:11" ht="16.5" thickBot="1" x14ac:dyDescent="0.3">
      <c r="A108" s="143"/>
      <c r="B108" s="144"/>
      <c r="C108" s="144"/>
      <c r="D108" s="144"/>
      <c r="E108" s="145"/>
      <c r="F108" s="144"/>
      <c r="G108" s="146"/>
      <c r="H108" s="135"/>
      <c r="I108" s="135"/>
      <c r="J108" s="135"/>
      <c r="K108" s="135"/>
    </row>
    <row r="109" spans="1:11" ht="46.5" customHeight="1" x14ac:dyDescent="0.25">
      <c r="A109" s="999" t="s">
        <v>203</v>
      </c>
      <c r="B109" s="1000"/>
      <c r="C109" s="1000"/>
      <c r="D109" s="1001"/>
      <c r="E109" s="164" t="e">
        <f>+E154</f>
        <v>#DIV/0!</v>
      </c>
      <c r="F109" s="164" t="e">
        <f>+E155</f>
        <v>#DIV/0!</v>
      </c>
      <c r="G109" s="164" t="e">
        <f>+E156</f>
        <v>#DIV/0!</v>
      </c>
      <c r="H109" s="135"/>
      <c r="I109" s="135"/>
      <c r="J109" s="135"/>
      <c r="K109" s="135"/>
    </row>
    <row r="110" spans="1:11" ht="30.75" customHeight="1" thickBot="1" x14ac:dyDescent="0.3">
      <c r="A110" s="1002" t="s">
        <v>196</v>
      </c>
      <c r="B110" s="1003"/>
      <c r="C110" s="1003"/>
      <c r="D110" s="1003"/>
      <c r="E110" s="1003"/>
      <c r="F110" s="1003"/>
      <c r="G110" s="1004"/>
      <c r="H110" s="135"/>
      <c r="I110" s="135"/>
      <c r="J110" s="135"/>
      <c r="K110" s="135"/>
    </row>
    <row r="111" spans="1:11" ht="30.75" thickBot="1" x14ac:dyDescent="0.3">
      <c r="A111" s="639" t="s">
        <v>0</v>
      </c>
      <c r="B111" s="639" t="s">
        <v>1</v>
      </c>
      <c r="C111" s="640" t="s">
        <v>99</v>
      </c>
      <c r="D111" s="641" t="s">
        <v>101</v>
      </c>
      <c r="E111" s="636" t="s">
        <v>100</v>
      </c>
      <c r="F111" s="636" t="s">
        <v>19</v>
      </c>
      <c r="G111" s="636" t="s">
        <v>107</v>
      </c>
      <c r="H111" s="135"/>
      <c r="I111" s="135"/>
      <c r="J111" s="135"/>
      <c r="K111" s="135"/>
    </row>
    <row r="112" spans="1:11" x14ac:dyDescent="0.25">
      <c r="A112" s="147"/>
      <c r="B112" s="148"/>
      <c r="C112" s="148"/>
      <c r="D112" s="138"/>
      <c r="E112" s="291" t="e">
        <f>+D112*$E$109</f>
        <v>#DIV/0!</v>
      </c>
      <c r="F112" s="172" t="e">
        <f>+D112*$F$109</f>
        <v>#DIV/0!</v>
      </c>
      <c r="G112" s="172" t="e">
        <f>+D112*$G$109</f>
        <v>#DIV/0!</v>
      </c>
      <c r="H112" s="135"/>
      <c r="I112" s="135"/>
      <c r="J112" s="135"/>
      <c r="K112" s="135"/>
    </row>
    <row r="113" spans="1:11" x14ac:dyDescent="0.25">
      <c r="A113" s="147"/>
      <c r="B113" s="148"/>
      <c r="C113" s="148"/>
      <c r="D113" s="138"/>
      <c r="E113" s="291" t="e">
        <f t="shared" ref="E113:E126" si="14">+D113*$E$109</f>
        <v>#DIV/0!</v>
      </c>
      <c r="F113" s="172" t="e">
        <f t="shared" ref="F113:F126" si="15">+D113*$F$109</f>
        <v>#DIV/0!</v>
      </c>
      <c r="G113" s="172" t="e">
        <f t="shared" ref="G113:G126" si="16">+D113*$G$109</f>
        <v>#DIV/0!</v>
      </c>
      <c r="H113" s="135"/>
      <c r="I113" s="135"/>
      <c r="J113" s="135"/>
      <c r="K113" s="135"/>
    </row>
    <row r="114" spans="1:11" x14ac:dyDescent="0.25">
      <c r="A114" s="147"/>
      <c r="B114" s="148"/>
      <c r="C114" s="148"/>
      <c r="D114" s="138"/>
      <c r="E114" s="291" t="e">
        <f t="shared" si="14"/>
        <v>#DIV/0!</v>
      </c>
      <c r="F114" s="172" t="e">
        <f t="shared" si="15"/>
        <v>#DIV/0!</v>
      </c>
      <c r="G114" s="172" t="e">
        <f t="shared" si="16"/>
        <v>#DIV/0!</v>
      </c>
      <c r="H114" s="135"/>
      <c r="I114" s="135"/>
      <c r="J114" s="135"/>
      <c r="K114" s="135"/>
    </row>
    <row r="115" spans="1:11" x14ac:dyDescent="0.25">
      <c r="A115" s="147"/>
      <c r="B115" s="148"/>
      <c r="C115" s="148"/>
      <c r="D115" s="138"/>
      <c r="E115" s="291" t="e">
        <f t="shared" si="14"/>
        <v>#DIV/0!</v>
      </c>
      <c r="F115" s="172" t="e">
        <f t="shared" si="15"/>
        <v>#DIV/0!</v>
      </c>
      <c r="G115" s="172" t="e">
        <f t="shared" si="16"/>
        <v>#DIV/0!</v>
      </c>
      <c r="H115" s="135"/>
      <c r="I115" s="135"/>
      <c r="J115" s="135"/>
      <c r="K115" s="135"/>
    </row>
    <row r="116" spans="1:11" x14ac:dyDescent="0.25">
      <c r="A116" s="147"/>
      <c r="B116" s="148"/>
      <c r="C116" s="148"/>
      <c r="D116" s="138"/>
      <c r="E116" s="291" t="e">
        <f t="shared" si="14"/>
        <v>#DIV/0!</v>
      </c>
      <c r="F116" s="172" t="e">
        <f t="shared" si="15"/>
        <v>#DIV/0!</v>
      </c>
      <c r="G116" s="172" t="e">
        <f t="shared" si="16"/>
        <v>#DIV/0!</v>
      </c>
      <c r="H116" s="135"/>
      <c r="I116" s="135"/>
      <c r="J116" s="135"/>
      <c r="K116" s="135"/>
    </row>
    <row r="117" spans="1:11" x14ac:dyDescent="0.25">
      <c r="A117" s="147"/>
      <c r="B117" s="148"/>
      <c r="C117" s="148"/>
      <c r="D117" s="138"/>
      <c r="E117" s="291" t="e">
        <f t="shared" si="14"/>
        <v>#DIV/0!</v>
      </c>
      <c r="F117" s="172" t="e">
        <f t="shared" si="15"/>
        <v>#DIV/0!</v>
      </c>
      <c r="G117" s="172" t="e">
        <f t="shared" si="16"/>
        <v>#DIV/0!</v>
      </c>
      <c r="H117" s="135"/>
      <c r="I117" s="135"/>
      <c r="J117" s="135"/>
      <c r="K117" s="135"/>
    </row>
    <row r="118" spans="1:11" x14ac:dyDescent="0.25">
      <c r="A118" s="147"/>
      <c r="B118" s="148"/>
      <c r="C118" s="148"/>
      <c r="D118" s="138"/>
      <c r="E118" s="291" t="e">
        <f t="shared" si="14"/>
        <v>#DIV/0!</v>
      </c>
      <c r="F118" s="172" t="e">
        <f t="shared" si="15"/>
        <v>#DIV/0!</v>
      </c>
      <c r="G118" s="172" t="e">
        <f t="shared" si="16"/>
        <v>#DIV/0!</v>
      </c>
      <c r="H118" s="135"/>
      <c r="I118" s="135"/>
      <c r="J118" s="135"/>
      <c r="K118" s="135"/>
    </row>
    <row r="119" spans="1:11" x14ac:dyDescent="0.25">
      <c r="A119" s="147"/>
      <c r="B119" s="148"/>
      <c r="C119" s="148"/>
      <c r="D119" s="138"/>
      <c r="E119" s="291" t="e">
        <f t="shared" si="14"/>
        <v>#DIV/0!</v>
      </c>
      <c r="F119" s="172" t="e">
        <f t="shared" si="15"/>
        <v>#DIV/0!</v>
      </c>
      <c r="G119" s="172" t="e">
        <f t="shared" si="16"/>
        <v>#DIV/0!</v>
      </c>
      <c r="H119" s="135"/>
      <c r="I119" s="135"/>
      <c r="J119" s="135"/>
      <c r="K119" s="135"/>
    </row>
    <row r="120" spans="1:11" x14ac:dyDescent="0.25">
      <c r="A120" s="147"/>
      <c r="B120" s="148"/>
      <c r="C120" s="148"/>
      <c r="D120" s="138"/>
      <c r="E120" s="291" t="e">
        <f t="shared" si="14"/>
        <v>#DIV/0!</v>
      </c>
      <c r="F120" s="172" t="e">
        <f t="shared" si="15"/>
        <v>#DIV/0!</v>
      </c>
      <c r="G120" s="172" t="e">
        <f t="shared" si="16"/>
        <v>#DIV/0!</v>
      </c>
      <c r="H120" s="135"/>
      <c r="I120" s="135"/>
      <c r="J120" s="135"/>
      <c r="K120" s="135"/>
    </row>
    <row r="121" spans="1:11" x14ac:dyDescent="0.25">
      <c r="A121" s="147"/>
      <c r="B121" s="148"/>
      <c r="C121" s="148"/>
      <c r="D121" s="138"/>
      <c r="E121" s="291" t="e">
        <f t="shared" si="14"/>
        <v>#DIV/0!</v>
      </c>
      <c r="F121" s="172" t="e">
        <f t="shared" si="15"/>
        <v>#DIV/0!</v>
      </c>
      <c r="G121" s="172" t="e">
        <f t="shared" si="16"/>
        <v>#DIV/0!</v>
      </c>
      <c r="H121" s="135"/>
      <c r="I121" s="135"/>
      <c r="J121" s="135"/>
      <c r="K121" s="135"/>
    </row>
    <row r="122" spans="1:11" x14ac:dyDescent="0.25">
      <c r="A122" s="147"/>
      <c r="B122" s="148"/>
      <c r="C122" s="148"/>
      <c r="D122" s="138"/>
      <c r="E122" s="291" t="e">
        <f t="shared" si="14"/>
        <v>#DIV/0!</v>
      </c>
      <c r="F122" s="172" t="e">
        <f t="shared" si="15"/>
        <v>#DIV/0!</v>
      </c>
      <c r="G122" s="172" t="e">
        <f t="shared" si="16"/>
        <v>#DIV/0!</v>
      </c>
      <c r="H122" s="135"/>
      <c r="I122" s="135"/>
      <c r="J122" s="135"/>
      <c r="K122" s="135"/>
    </row>
    <row r="123" spans="1:11" x14ac:dyDescent="0.25">
      <c r="A123" s="147"/>
      <c r="B123" s="148"/>
      <c r="C123" s="148"/>
      <c r="D123" s="138"/>
      <c r="E123" s="291" t="e">
        <f t="shared" si="14"/>
        <v>#DIV/0!</v>
      </c>
      <c r="F123" s="172" t="e">
        <f t="shared" si="15"/>
        <v>#DIV/0!</v>
      </c>
      <c r="G123" s="172" t="e">
        <f t="shared" si="16"/>
        <v>#DIV/0!</v>
      </c>
      <c r="H123" s="135"/>
      <c r="I123" s="135"/>
      <c r="J123" s="135"/>
      <c r="K123" s="135"/>
    </row>
    <row r="124" spans="1:11" x14ac:dyDescent="0.25">
      <c r="A124" s="149"/>
      <c r="B124" s="137"/>
      <c r="C124" s="137"/>
      <c r="D124" s="138"/>
      <c r="E124" s="291" t="e">
        <f t="shared" si="14"/>
        <v>#DIV/0!</v>
      </c>
      <c r="F124" s="172" t="e">
        <f t="shared" si="15"/>
        <v>#DIV/0!</v>
      </c>
      <c r="G124" s="172" t="e">
        <f t="shared" si="16"/>
        <v>#DIV/0!</v>
      </c>
      <c r="H124" s="135"/>
      <c r="I124" s="135"/>
      <c r="J124" s="135"/>
      <c r="K124" s="135"/>
    </row>
    <row r="125" spans="1:11" ht="15.75" x14ac:dyDescent="0.25">
      <c r="A125" s="150"/>
      <c r="B125" s="137"/>
      <c r="C125" s="137"/>
      <c r="D125" s="138"/>
      <c r="E125" s="291" t="e">
        <f t="shared" si="14"/>
        <v>#DIV/0!</v>
      </c>
      <c r="F125" s="172" t="e">
        <f t="shared" si="15"/>
        <v>#DIV/0!</v>
      </c>
      <c r="G125" s="172" t="e">
        <f t="shared" si="16"/>
        <v>#DIV/0!</v>
      </c>
      <c r="H125" s="135"/>
      <c r="I125" s="135"/>
      <c r="J125" s="135"/>
      <c r="K125" s="135"/>
    </row>
    <row r="126" spans="1:11" ht="16.5" thickBot="1" x14ac:dyDescent="0.3">
      <c r="A126" s="150"/>
      <c r="B126" s="137"/>
      <c r="C126" s="137"/>
      <c r="D126" s="138"/>
      <c r="E126" s="291" t="e">
        <f t="shared" si="14"/>
        <v>#DIV/0!</v>
      </c>
      <c r="F126" s="172" t="e">
        <f t="shared" si="15"/>
        <v>#DIV/0!</v>
      </c>
      <c r="G126" s="172" t="e">
        <f t="shared" si="16"/>
        <v>#DIV/0!</v>
      </c>
      <c r="H126" s="135"/>
      <c r="I126" s="135"/>
      <c r="J126" s="135"/>
      <c r="K126" s="135"/>
    </row>
    <row r="127" spans="1:11" ht="16.5" thickBot="1" x14ac:dyDescent="0.3">
      <c r="A127" s="642" t="s">
        <v>197</v>
      </c>
      <c r="B127" s="643"/>
      <c r="C127" s="643"/>
      <c r="D127" s="165">
        <f>+SUM(D112:D126)</f>
        <v>0</v>
      </c>
      <c r="E127" s="165" t="e">
        <f>+SUM(E112:E126)</f>
        <v>#DIV/0!</v>
      </c>
      <c r="F127" s="165" t="e">
        <f>+SUM(F112:F126)</f>
        <v>#DIV/0!</v>
      </c>
      <c r="G127" s="165" t="e">
        <f>+SUM(G112:G126)</f>
        <v>#DIV/0!</v>
      </c>
      <c r="H127" s="135"/>
      <c r="I127" s="108" t="s">
        <v>265</v>
      </c>
      <c r="J127" s="160" t="e">
        <f>D127-G127-F127-E127</f>
        <v>#DIV/0!</v>
      </c>
      <c r="K127" s="135"/>
    </row>
    <row r="128" spans="1:11" ht="16.5" thickBot="1" x14ac:dyDescent="0.3">
      <c r="A128" s="143"/>
      <c r="B128" s="144"/>
      <c r="C128" s="144"/>
      <c r="D128" s="144"/>
      <c r="E128" s="145"/>
      <c r="F128" s="144"/>
      <c r="G128" s="146"/>
      <c r="H128" s="135"/>
      <c r="I128" s="135"/>
      <c r="J128" s="135"/>
      <c r="K128" s="135"/>
    </row>
    <row r="129" spans="1:11" ht="47.25" customHeight="1" x14ac:dyDescent="0.25">
      <c r="A129" s="999" t="s">
        <v>204</v>
      </c>
      <c r="B129" s="1000"/>
      <c r="C129" s="1000"/>
      <c r="D129" s="1001"/>
      <c r="E129" s="164" t="e">
        <f>+E174</f>
        <v>#DIV/0!</v>
      </c>
      <c r="F129" s="164" t="e">
        <f>+E175</f>
        <v>#DIV/0!</v>
      </c>
      <c r="G129" s="166">
        <v>0</v>
      </c>
      <c r="H129" s="135"/>
      <c r="I129" s="135"/>
      <c r="J129" s="135"/>
      <c r="K129" s="135"/>
    </row>
    <row r="130" spans="1:11" ht="30.75" customHeight="1" thickBot="1" x14ac:dyDescent="0.3">
      <c r="A130" s="1002" t="s">
        <v>198</v>
      </c>
      <c r="B130" s="1003"/>
      <c r="C130" s="1003"/>
      <c r="D130" s="1003"/>
      <c r="E130" s="1003"/>
      <c r="F130" s="1003"/>
      <c r="G130" s="1004"/>
      <c r="H130" s="135"/>
      <c r="I130" s="135"/>
      <c r="J130" s="135"/>
      <c r="K130" s="135"/>
    </row>
    <row r="131" spans="1:11" ht="30.75" thickBot="1" x14ac:dyDescent="0.3">
      <c r="A131" s="639" t="s">
        <v>0</v>
      </c>
      <c r="B131" s="639" t="s">
        <v>1</v>
      </c>
      <c r="C131" s="640" t="s">
        <v>99</v>
      </c>
      <c r="D131" s="641" t="s">
        <v>101</v>
      </c>
      <c r="E131" s="636" t="s">
        <v>100</v>
      </c>
      <c r="F131" s="636" t="s">
        <v>19</v>
      </c>
      <c r="G131" s="635" t="s">
        <v>107</v>
      </c>
      <c r="H131" s="135"/>
      <c r="I131" s="135"/>
      <c r="J131" s="135"/>
      <c r="K131" s="135"/>
    </row>
    <row r="132" spans="1:11" x14ac:dyDescent="0.25">
      <c r="A132" s="149"/>
      <c r="B132" s="137"/>
      <c r="C132" s="137"/>
      <c r="D132" s="138"/>
      <c r="E132" s="291" t="e">
        <f t="shared" ref="E132:E139" si="17">+D132*$E$129</f>
        <v>#DIV/0!</v>
      </c>
      <c r="F132" s="172" t="e">
        <f t="shared" ref="F132:F139" si="18">+D132*$F$129</f>
        <v>#DIV/0!</v>
      </c>
      <c r="G132" s="284">
        <f t="shared" ref="G132:G139" si="19">+D132*$G$129</f>
        <v>0</v>
      </c>
      <c r="H132" s="135"/>
      <c r="I132" s="135"/>
      <c r="J132" s="135"/>
      <c r="K132" s="135"/>
    </row>
    <row r="133" spans="1:11" x14ac:dyDescent="0.25">
      <c r="A133" s="149"/>
      <c r="B133" s="137"/>
      <c r="C133" s="137"/>
      <c r="D133" s="138"/>
      <c r="E133" s="291" t="e">
        <f t="shared" si="17"/>
        <v>#DIV/0!</v>
      </c>
      <c r="F133" s="172" t="e">
        <f t="shared" si="18"/>
        <v>#DIV/0!</v>
      </c>
      <c r="G133" s="284">
        <f t="shared" si="19"/>
        <v>0</v>
      </c>
      <c r="H133" s="135"/>
      <c r="I133" s="135"/>
      <c r="J133" s="135"/>
      <c r="K133" s="135"/>
    </row>
    <row r="134" spans="1:11" x14ac:dyDescent="0.25">
      <c r="A134" s="149"/>
      <c r="B134" s="137"/>
      <c r="C134" s="137"/>
      <c r="D134" s="138"/>
      <c r="E134" s="291" t="e">
        <f t="shared" si="17"/>
        <v>#DIV/0!</v>
      </c>
      <c r="F134" s="172" t="e">
        <f t="shared" si="18"/>
        <v>#DIV/0!</v>
      </c>
      <c r="G134" s="284">
        <f t="shared" si="19"/>
        <v>0</v>
      </c>
      <c r="H134" s="135"/>
      <c r="I134" s="135"/>
      <c r="J134" s="135"/>
      <c r="K134" s="135"/>
    </row>
    <row r="135" spans="1:11" x14ac:dyDescent="0.25">
      <c r="A135" s="149"/>
      <c r="B135" s="137"/>
      <c r="C135" s="137"/>
      <c r="D135" s="138"/>
      <c r="E135" s="291" t="e">
        <f t="shared" si="17"/>
        <v>#DIV/0!</v>
      </c>
      <c r="F135" s="172" t="e">
        <f t="shared" si="18"/>
        <v>#DIV/0!</v>
      </c>
      <c r="G135" s="284">
        <f t="shared" si="19"/>
        <v>0</v>
      </c>
      <c r="H135" s="135"/>
      <c r="I135" s="135"/>
      <c r="J135" s="135"/>
      <c r="K135" s="135"/>
    </row>
    <row r="136" spans="1:11" x14ac:dyDescent="0.25">
      <c r="A136" s="149"/>
      <c r="B136" s="137"/>
      <c r="C136" s="137"/>
      <c r="D136" s="138"/>
      <c r="E136" s="291" t="e">
        <f t="shared" si="17"/>
        <v>#DIV/0!</v>
      </c>
      <c r="F136" s="172" t="e">
        <f t="shared" si="18"/>
        <v>#DIV/0!</v>
      </c>
      <c r="G136" s="284">
        <f t="shared" si="19"/>
        <v>0</v>
      </c>
      <c r="H136" s="135"/>
      <c r="I136" s="135"/>
      <c r="J136" s="135"/>
      <c r="K136" s="135"/>
    </row>
    <row r="137" spans="1:11" x14ac:dyDescent="0.25">
      <c r="A137" s="149"/>
      <c r="B137" s="137"/>
      <c r="C137" s="137"/>
      <c r="D137" s="138"/>
      <c r="E137" s="291" t="e">
        <f t="shared" si="17"/>
        <v>#DIV/0!</v>
      </c>
      <c r="F137" s="172" t="e">
        <f t="shared" si="18"/>
        <v>#DIV/0!</v>
      </c>
      <c r="G137" s="284">
        <f t="shared" si="19"/>
        <v>0</v>
      </c>
      <c r="H137" s="135"/>
      <c r="I137" s="135"/>
      <c r="J137" s="135"/>
      <c r="K137" s="135"/>
    </row>
    <row r="138" spans="1:11" x14ac:dyDescent="0.25">
      <c r="A138" s="149"/>
      <c r="B138" s="137"/>
      <c r="C138" s="137"/>
      <c r="D138" s="138"/>
      <c r="E138" s="291" t="e">
        <f t="shared" si="17"/>
        <v>#DIV/0!</v>
      </c>
      <c r="F138" s="172" t="e">
        <f t="shared" si="18"/>
        <v>#DIV/0!</v>
      </c>
      <c r="G138" s="284">
        <f t="shared" si="19"/>
        <v>0</v>
      </c>
      <c r="H138" s="135"/>
      <c r="I138" s="135"/>
      <c r="J138" s="135"/>
      <c r="K138" s="135"/>
    </row>
    <row r="139" spans="1:11" x14ac:dyDescent="0.25">
      <c r="A139" s="149"/>
      <c r="B139" s="137"/>
      <c r="C139" s="137"/>
      <c r="D139" s="138"/>
      <c r="E139" s="291" t="e">
        <f t="shared" si="17"/>
        <v>#DIV/0!</v>
      </c>
      <c r="F139" s="172" t="e">
        <f t="shared" si="18"/>
        <v>#DIV/0!</v>
      </c>
      <c r="G139" s="284">
        <f t="shared" si="19"/>
        <v>0</v>
      </c>
      <c r="H139" s="135"/>
      <c r="I139" s="135"/>
      <c r="J139" s="135"/>
      <c r="K139" s="135"/>
    </row>
    <row r="140" spans="1:11" x14ac:dyDescent="0.25">
      <c r="A140" s="149"/>
      <c r="B140" s="137"/>
      <c r="C140" s="137"/>
      <c r="D140" s="138"/>
      <c r="E140" s="291" t="e">
        <f t="shared" ref="E140:E143" si="20">+D140*$E$129</f>
        <v>#DIV/0!</v>
      </c>
      <c r="F140" s="172" t="e">
        <f t="shared" ref="F140:F143" si="21">+D140*$F$129</f>
        <v>#DIV/0!</v>
      </c>
      <c r="G140" s="284">
        <f t="shared" ref="G140:G143" si="22">+D140*$G$129</f>
        <v>0</v>
      </c>
      <c r="H140" s="135"/>
      <c r="I140" s="135"/>
      <c r="J140" s="135"/>
      <c r="K140" s="135"/>
    </row>
    <row r="141" spans="1:11" x14ac:dyDescent="0.25">
      <c r="A141" s="149"/>
      <c r="B141" s="137"/>
      <c r="C141" s="137"/>
      <c r="D141" s="138"/>
      <c r="E141" s="291" t="e">
        <f t="shared" si="20"/>
        <v>#DIV/0!</v>
      </c>
      <c r="F141" s="172" t="e">
        <f t="shared" si="21"/>
        <v>#DIV/0!</v>
      </c>
      <c r="G141" s="284">
        <f t="shared" si="22"/>
        <v>0</v>
      </c>
      <c r="H141" s="135"/>
      <c r="I141" s="135"/>
      <c r="J141" s="135"/>
      <c r="K141" s="135"/>
    </row>
    <row r="142" spans="1:11" x14ac:dyDescent="0.25">
      <c r="A142" s="149"/>
      <c r="B142" s="137"/>
      <c r="C142" s="137"/>
      <c r="D142" s="138"/>
      <c r="E142" s="291" t="e">
        <f t="shared" si="20"/>
        <v>#DIV/0!</v>
      </c>
      <c r="F142" s="172" t="e">
        <f t="shared" si="21"/>
        <v>#DIV/0!</v>
      </c>
      <c r="G142" s="284">
        <f t="shared" si="22"/>
        <v>0</v>
      </c>
      <c r="H142" s="135"/>
      <c r="I142" s="135"/>
      <c r="J142" s="135"/>
      <c r="K142" s="135"/>
    </row>
    <row r="143" spans="1:11" x14ac:dyDescent="0.25">
      <c r="A143" s="149"/>
      <c r="B143" s="137"/>
      <c r="C143" s="137"/>
      <c r="D143" s="138"/>
      <c r="E143" s="291" t="e">
        <f t="shared" si="20"/>
        <v>#DIV/0!</v>
      </c>
      <c r="F143" s="172" t="e">
        <f t="shared" si="21"/>
        <v>#DIV/0!</v>
      </c>
      <c r="G143" s="284">
        <f t="shared" si="22"/>
        <v>0</v>
      </c>
      <c r="H143" s="135"/>
      <c r="I143" s="135"/>
      <c r="J143" s="135"/>
      <c r="K143" s="135"/>
    </row>
    <row r="144" spans="1:11" x14ac:dyDescent="0.25">
      <c r="A144" s="149"/>
      <c r="B144" s="137"/>
      <c r="C144" s="137"/>
      <c r="D144" s="138"/>
      <c r="E144" s="291" t="e">
        <f>+D144*$E$129</f>
        <v>#DIV/0!</v>
      </c>
      <c r="F144" s="172" t="e">
        <f>+D144*$F$129</f>
        <v>#DIV/0!</v>
      </c>
      <c r="G144" s="284">
        <f>+D144*$G$129</f>
        <v>0</v>
      </c>
      <c r="H144" s="135"/>
      <c r="I144" s="135"/>
      <c r="J144" s="135"/>
      <c r="K144" s="135"/>
    </row>
    <row r="145" spans="1:11" ht="15.75" x14ac:dyDescent="0.25">
      <c r="A145" s="150"/>
      <c r="B145" s="137"/>
      <c r="C145" s="137"/>
      <c r="D145" s="138"/>
      <c r="E145" s="291" t="e">
        <f>+D145*$E$129</f>
        <v>#DIV/0!</v>
      </c>
      <c r="F145" s="172" t="e">
        <f>+D145*$F$129</f>
        <v>#DIV/0!</v>
      </c>
      <c r="G145" s="284">
        <f>+D145*$G$129</f>
        <v>0</v>
      </c>
      <c r="H145" s="135"/>
      <c r="I145" s="135"/>
      <c r="J145" s="135"/>
      <c r="K145" s="135"/>
    </row>
    <row r="146" spans="1:11" ht="16.5" thickBot="1" x14ac:dyDescent="0.3">
      <c r="A146" s="150"/>
      <c r="B146" s="137"/>
      <c r="C146" s="137"/>
      <c r="D146" s="138"/>
      <c r="E146" s="292" t="e">
        <f>+D146*$E$129</f>
        <v>#DIV/0!</v>
      </c>
      <c r="F146" s="293" t="e">
        <f>+D146*$F$129</f>
        <v>#DIV/0!</v>
      </c>
      <c r="G146" s="288">
        <f>+D146*$G$129</f>
        <v>0</v>
      </c>
      <c r="H146" s="135"/>
      <c r="I146" s="135"/>
      <c r="J146" s="135"/>
      <c r="K146" s="135"/>
    </row>
    <row r="147" spans="1:11" ht="16.5" thickBot="1" x14ac:dyDescent="0.3">
      <c r="A147" s="642" t="s">
        <v>164</v>
      </c>
      <c r="B147" s="643"/>
      <c r="C147" s="643"/>
      <c r="D147" s="165">
        <f>+SUM(D132:D146)</f>
        <v>0</v>
      </c>
      <c r="E147" s="165" t="e">
        <f>+SUM(E132:E146)</f>
        <v>#DIV/0!</v>
      </c>
      <c r="F147" s="165" t="e">
        <f>+SUM(F132:F146)</f>
        <v>#DIV/0!</v>
      </c>
      <c r="G147" s="159">
        <f>+SUM(G132:G146)</f>
        <v>0</v>
      </c>
      <c r="H147" s="135"/>
      <c r="I147" s="108" t="s">
        <v>265</v>
      </c>
      <c r="J147" s="160" t="e">
        <f>D147-G147-F147-E147</f>
        <v>#DIV/0!</v>
      </c>
      <c r="K147" s="135"/>
    </row>
    <row r="148" spans="1:11" ht="16.5" thickBot="1" x14ac:dyDescent="0.3">
      <c r="A148" s="143"/>
      <c r="B148" s="144"/>
      <c r="C148" s="144"/>
      <c r="D148" s="144"/>
      <c r="E148" s="145"/>
      <c r="F148" s="144"/>
      <c r="G148" s="146"/>
      <c r="H148" s="135"/>
      <c r="I148" s="135"/>
      <c r="J148" s="135"/>
      <c r="K148" s="135"/>
    </row>
    <row r="149" spans="1:11" ht="16.5" thickBot="1" x14ac:dyDescent="0.3">
      <c r="A149" s="642" t="s">
        <v>103</v>
      </c>
      <c r="B149" s="643"/>
      <c r="C149" s="643"/>
      <c r="D149" s="165">
        <f>+D147+D107+D91+D66+D127</f>
        <v>0</v>
      </c>
      <c r="E149" s="165" t="e">
        <f>+E147+E107+E91+E66+E127</f>
        <v>#DIV/0!</v>
      </c>
      <c r="F149" s="165" t="e">
        <f>+F147+F107+F91+F66+F127</f>
        <v>#DIV/0!</v>
      </c>
      <c r="G149" s="165" t="e">
        <f>+G147+G107+G91+G66+G127</f>
        <v>#DIV/0!</v>
      </c>
      <c r="H149" s="135"/>
      <c r="I149" s="108" t="s">
        <v>265</v>
      </c>
      <c r="J149" s="160" t="e">
        <f>D149-G149-F149-E149</f>
        <v>#DIV/0!</v>
      </c>
      <c r="K149" s="135"/>
    </row>
    <row r="150" spans="1:11" ht="16.5" thickBot="1" x14ac:dyDescent="0.3">
      <c r="A150" s="143"/>
      <c r="B150" s="144"/>
      <c r="C150" s="144"/>
      <c r="D150" s="144"/>
      <c r="E150" s="145"/>
      <c r="F150" s="144"/>
      <c r="G150" s="146"/>
      <c r="H150" s="135"/>
      <c r="I150" s="135"/>
      <c r="J150" s="135"/>
      <c r="K150" s="135"/>
    </row>
    <row r="151" spans="1:11" ht="19.5" thickBot="1" x14ac:dyDescent="0.35">
      <c r="A151" s="644" t="s">
        <v>105</v>
      </c>
      <c r="B151" s="645"/>
      <c r="C151" s="645"/>
      <c r="D151" s="646"/>
      <c r="E151" s="647" t="s">
        <v>106</v>
      </c>
      <c r="F151" s="647" t="s">
        <v>206</v>
      </c>
      <c r="G151" s="7"/>
      <c r="H151" s="135"/>
      <c r="I151" s="135"/>
      <c r="J151" s="135"/>
      <c r="K151" s="135"/>
    </row>
    <row r="152" spans="1:11" x14ac:dyDescent="0.25">
      <c r="A152" s="648" t="s">
        <v>2</v>
      </c>
      <c r="B152" s="649"/>
      <c r="C152" s="649"/>
      <c r="D152" s="167">
        <f>+D149</f>
        <v>0</v>
      </c>
      <c r="E152" s="168" t="e">
        <f>D152/D149</f>
        <v>#DIV/0!</v>
      </c>
      <c r="F152" s="167"/>
      <c r="G152" s="7" t="s">
        <v>199</v>
      </c>
      <c r="H152" s="135"/>
      <c r="I152" s="135"/>
      <c r="J152" s="135"/>
      <c r="K152" s="135"/>
    </row>
    <row r="153" spans="1:11" x14ac:dyDescent="0.25">
      <c r="A153" s="31"/>
      <c r="B153" s="3"/>
      <c r="C153" s="3"/>
      <c r="D153" s="169"/>
      <c r="E153" s="650"/>
      <c r="F153" s="169"/>
      <c r="G153" s="7" t="s">
        <v>200</v>
      </c>
      <c r="H153" s="135"/>
      <c r="I153" s="135"/>
      <c r="J153" s="135"/>
      <c r="K153" s="135"/>
    </row>
    <row r="154" spans="1:11" x14ac:dyDescent="0.25">
      <c r="A154" s="31" t="s">
        <v>289</v>
      </c>
      <c r="B154" s="3"/>
      <c r="C154" s="3"/>
      <c r="D154" s="169">
        <f>D66</f>
        <v>0</v>
      </c>
      <c r="E154" s="170" t="e">
        <f>D154/D157</f>
        <v>#DIV/0!</v>
      </c>
      <c r="F154" s="169" t="e">
        <f>D154/Stammdaten!B7</f>
        <v>#DIV/0!</v>
      </c>
      <c r="G154" s="171" t="e">
        <f>D154/(D154+D155)</f>
        <v>#DIV/0!</v>
      </c>
      <c r="H154" s="135"/>
      <c r="I154" s="135"/>
      <c r="J154" s="135"/>
      <c r="K154" s="135"/>
    </row>
    <row r="155" spans="1:11" x14ac:dyDescent="0.25">
      <c r="A155" s="31" t="s">
        <v>3</v>
      </c>
      <c r="B155" s="3"/>
      <c r="C155" s="3"/>
      <c r="D155" s="169">
        <f>D91</f>
        <v>0</v>
      </c>
      <c r="E155" s="170" t="e">
        <f>D155/D157</f>
        <v>#DIV/0!</v>
      </c>
      <c r="F155" s="169" t="e">
        <f>D155/Stammdaten!B7</f>
        <v>#DIV/0!</v>
      </c>
      <c r="G155" s="171" t="e">
        <f>D155/(D155+D154)</f>
        <v>#DIV/0!</v>
      </c>
      <c r="H155" s="135"/>
      <c r="I155" s="135"/>
      <c r="J155" s="135"/>
      <c r="K155" s="135"/>
    </row>
    <row r="156" spans="1:11" x14ac:dyDescent="0.25">
      <c r="A156" s="483" t="s">
        <v>46</v>
      </c>
      <c r="B156" s="521"/>
      <c r="C156" s="521"/>
      <c r="D156" s="172">
        <f>D107</f>
        <v>0</v>
      </c>
      <c r="E156" s="173" t="e">
        <f>D156/D157</f>
        <v>#DIV/0!</v>
      </c>
      <c r="F156" s="651"/>
      <c r="G156" s="7"/>
      <c r="H156" s="135"/>
      <c r="I156" s="135"/>
      <c r="J156" s="135"/>
      <c r="K156" s="135"/>
    </row>
    <row r="157" spans="1:11" x14ac:dyDescent="0.25">
      <c r="A157" s="31" t="s">
        <v>104</v>
      </c>
      <c r="B157" s="3"/>
      <c r="C157" s="3"/>
      <c r="D157" s="169">
        <f>D155+D154+D156</f>
        <v>0</v>
      </c>
      <c r="E157" s="170" t="e">
        <f>SUM(E154:E156)</f>
        <v>#DIV/0!</v>
      </c>
      <c r="F157" s="652"/>
      <c r="G157" s="7"/>
      <c r="H157" s="135"/>
      <c r="I157" s="135"/>
      <c r="J157" s="135"/>
      <c r="K157" s="135"/>
    </row>
    <row r="158" spans="1:11" x14ac:dyDescent="0.25">
      <c r="A158" s="31"/>
      <c r="B158" s="3"/>
      <c r="C158" s="3"/>
      <c r="D158" s="169"/>
      <c r="E158" s="652"/>
      <c r="F158" s="652"/>
      <c r="G158" s="7"/>
      <c r="H158" s="135"/>
      <c r="I158" s="135"/>
      <c r="J158" s="135"/>
      <c r="K158" s="135"/>
    </row>
    <row r="159" spans="1:11" x14ac:dyDescent="0.25">
      <c r="A159" s="31" t="s">
        <v>201</v>
      </c>
      <c r="B159" s="3"/>
      <c r="C159" s="3"/>
      <c r="D159" s="169">
        <f>D127</f>
        <v>0</v>
      </c>
      <c r="E159" s="652"/>
      <c r="F159" s="652"/>
      <c r="G159" s="7"/>
      <c r="H159" s="135"/>
      <c r="I159" s="135"/>
      <c r="J159" s="135"/>
      <c r="K159" s="135"/>
    </row>
    <row r="160" spans="1:11" x14ac:dyDescent="0.25">
      <c r="A160" s="31" t="s">
        <v>4</v>
      </c>
      <c r="B160" s="3" t="s">
        <v>290</v>
      </c>
      <c r="C160" s="3"/>
      <c r="D160" s="169" t="e">
        <f>D159*E160</f>
        <v>#DIV/0!</v>
      </c>
      <c r="E160" s="170" t="e">
        <f>+E154</f>
        <v>#DIV/0!</v>
      </c>
      <c r="F160" s="169" t="e">
        <f>D160/Stammdaten!B7</f>
        <v>#DIV/0!</v>
      </c>
      <c r="G160" s="7"/>
      <c r="H160" s="135"/>
      <c r="I160" s="135"/>
      <c r="J160" s="135"/>
      <c r="K160" s="135"/>
    </row>
    <row r="161" spans="1:11" x14ac:dyDescent="0.25">
      <c r="A161" s="31"/>
      <c r="B161" s="3" t="s">
        <v>96</v>
      </c>
      <c r="C161" s="3"/>
      <c r="D161" s="169" t="e">
        <f>D159*E161</f>
        <v>#DIV/0!</v>
      </c>
      <c r="E161" s="170" t="e">
        <f>+E155</f>
        <v>#DIV/0!</v>
      </c>
      <c r="F161" s="169" t="e">
        <f>D161/Stammdaten!B7</f>
        <v>#DIV/0!</v>
      </c>
      <c r="G161" s="7"/>
      <c r="H161" s="135"/>
      <c r="I161" s="135"/>
      <c r="J161" s="135"/>
      <c r="K161" s="135"/>
    </row>
    <row r="162" spans="1:11" x14ac:dyDescent="0.25">
      <c r="A162" s="31"/>
      <c r="B162" s="3" t="s">
        <v>47</v>
      </c>
      <c r="C162" s="3"/>
      <c r="D162" s="169" t="e">
        <f>D159*E162</f>
        <v>#DIV/0!</v>
      </c>
      <c r="E162" s="170" t="e">
        <f>+E156</f>
        <v>#DIV/0!</v>
      </c>
      <c r="F162" s="169"/>
      <c r="G162" s="7"/>
      <c r="H162" s="135"/>
      <c r="I162" s="135"/>
      <c r="J162" s="135"/>
      <c r="K162" s="135"/>
    </row>
    <row r="163" spans="1:11" x14ac:dyDescent="0.25">
      <c r="A163" s="31"/>
      <c r="B163" s="3"/>
      <c r="C163" s="3"/>
      <c r="D163" s="169"/>
      <c r="E163" s="170"/>
      <c r="F163" s="169"/>
      <c r="G163" s="7"/>
      <c r="H163" s="135"/>
      <c r="I163" s="142"/>
      <c r="J163" s="151"/>
      <c r="K163" s="685"/>
    </row>
    <row r="164" spans="1:11" x14ac:dyDescent="0.25">
      <c r="A164" s="31" t="s">
        <v>202</v>
      </c>
      <c r="B164" s="3"/>
      <c r="C164" s="3"/>
      <c r="D164" s="169">
        <f>D147</f>
        <v>0</v>
      </c>
      <c r="E164" s="652"/>
      <c r="F164" s="652"/>
      <c r="G164" s="7"/>
      <c r="H164" s="135"/>
      <c r="I164" s="142"/>
      <c r="J164" s="151"/>
      <c r="K164" s="685"/>
    </row>
    <row r="165" spans="1:11" x14ac:dyDescent="0.25">
      <c r="A165" s="31" t="s">
        <v>4</v>
      </c>
      <c r="B165" s="3" t="s">
        <v>290</v>
      </c>
      <c r="C165" s="3"/>
      <c r="D165" s="169" t="e">
        <f>D164*E165</f>
        <v>#DIV/0!</v>
      </c>
      <c r="E165" s="170" t="e">
        <f>+G154</f>
        <v>#DIV/0!</v>
      </c>
      <c r="F165" s="169" t="e">
        <f>D165/Stammdaten!B7</f>
        <v>#DIV/0!</v>
      </c>
      <c r="G165" s="7"/>
      <c r="H165" s="135"/>
      <c r="I165" s="142"/>
      <c r="J165" s="151"/>
      <c r="K165" s="135"/>
    </row>
    <row r="166" spans="1:11" x14ac:dyDescent="0.25">
      <c r="A166" s="31"/>
      <c r="B166" s="3" t="s">
        <v>96</v>
      </c>
      <c r="C166" s="3"/>
      <c r="D166" s="169" t="e">
        <f>D164*E166</f>
        <v>#DIV/0!</v>
      </c>
      <c r="E166" s="170" t="e">
        <f>+G155</f>
        <v>#DIV/0!</v>
      </c>
      <c r="F166" s="169" t="e">
        <f>D166/Stammdaten!B7</f>
        <v>#DIV/0!</v>
      </c>
      <c r="G166" s="7"/>
      <c r="H166" s="135"/>
      <c r="I166" s="108" t="s">
        <v>265</v>
      </c>
      <c r="J166" s="160" t="e">
        <f>D152-D157-D162-D160-D161-D165-D166</f>
        <v>#DIV/0!</v>
      </c>
      <c r="K166" s="135"/>
    </row>
    <row r="167" spans="1:11" ht="15.75" thickBot="1" x14ac:dyDescent="0.3">
      <c r="A167" s="31"/>
      <c r="B167" s="3"/>
      <c r="C167" s="3"/>
      <c r="D167" s="169"/>
      <c r="E167" s="652"/>
      <c r="F167" s="652"/>
      <c r="G167" s="7"/>
      <c r="H167" s="135"/>
      <c r="I167" s="135"/>
      <c r="J167" s="135"/>
      <c r="K167" s="135"/>
    </row>
    <row r="168" spans="1:11" ht="19.5" thickBot="1" x14ac:dyDescent="0.35">
      <c r="A168" s="653" t="s">
        <v>6</v>
      </c>
      <c r="B168" s="654"/>
      <c r="C168" s="654"/>
      <c r="D168" s="655"/>
      <c r="E168" s="656" t="s">
        <v>106</v>
      </c>
      <c r="F168" s="656"/>
      <c r="G168" s="7"/>
      <c r="H168" s="135"/>
      <c r="I168" s="135"/>
      <c r="J168" s="135"/>
      <c r="K168" s="135"/>
    </row>
    <row r="169" spans="1:11" ht="19.5" thickBot="1" x14ac:dyDescent="0.35">
      <c r="A169" s="39"/>
      <c r="B169" s="657"/>
      <c r="C169" s="658" t="s">
        <v>290</v>
      </c>
      <c r="D169" s="174" t="e">
        <f>D154+D160+D165</f>
        <v>#DIV/0!</v>
      </c>
      <c r="E169" s="431" t="e">
        <f>D169/D172</f>
        <v>#DIV/0!</v>
      </c>
      <c r="F169" s="659"/>
      <c r="G169" s="7"/>
      <c r="H169" s="135"/>
      <c r="I169" s="108" t="s">
        <v>265</v>
      </c>
      <c r="J169" s="160" t="e">
        <f>D169-E149</f>
        <v>#DIV/0!</v>
      </c>
      <c r="K169" s="135"/>
    </row>
    <row r="170" spans="1:11" ht="19.5" thickBot="1" x14ac:dyDescent="0.35">
      <c r="A170" s="39"/>
      <c r="B170" s="657"/>
      <c r="C170" s="658" t="s">
        <v>96</v>
      </c>
      <c r="D170" s="174" t="e">
        <f>D155+D161+D166</f>
        <v>#DIV/0!</v>
      </c>
      <c r="E170" s="431" t="e">
        <f>D170/D172</f>
        <v>#DIV/0!</v>
      </c>
      <c r="F170" s="659"/>
      <c r="G170" s="7"/>
      <c r="H170" s="135"/>
      <c r="I170" s="108" t="s">
        <v>265</v>
      </c>
      <c r="J170" s="160" t="e">
        <f>D170-F149</f>
        <v>#DIV/0!</v>
      </c>
      <c r="K170" s="135"/>
    </row>
    <row r="171" spans="1:11" ht="19.5" thickBot="1" x14ac:dyDescent="0.35">
      <c r="A171" s="660"/>
      <c r="B171" s="38"/>
      <c r="C171" s="661" t="s">
        <v>47</v>
      </c>
      <c r="D171" s="175" t="e">
        <f>D162+D156</f>
        <v>#DIV/0!</v>
      </c>
      <c r="E171" s="431" t="e">
        <f>D171/D172</f>
        <v>#DIV/0!</v>
      </c>
      <c r="F171" s="662"/>
      <c r="G171" s="7"/>
      <c r="H171" s="135"/>
      <c r="I171" s="108" t="s">
        <v>265</v>
      </c>
      <c r="J171" s="160" t="e">
        <f>D171-G149</f>
        <v>#DIV/0!</v>
      </c>
      <c r="K171" s="135"/>
    </row>
    <row r="172" spans="1:11" ht="19.5" thickBot="1" x14ac:dyDescent="0.35">
      <c r="A172" s="39"/>
      <c r="B172" s="663"/>
      <c r="C172" s="663"/>
      <c r="D172" s="176" t="e">
        <f>SUM(D169:D171)</f>
        <v>#DIV/0!</v>
      </c>
      <c r="E172" s="177" t="e">
        <f>SUM(E169:E171)</f>
        <v>#DIV/0!</v>
      </c>
      <c r="F172" s="659"/>
      <c r="G172" s="7"/>
      <c r="H172" s="135"/>
      <c r="I172" s="108" t="s">
        <v>265</v>
      </c>
      <c r="J172" s="160" t="e">
        <f>D152-D172</f>
        <v>#DIV/0!</v>
      </c>
      <c r="K172" s="135"/>
    </row>
    <row r="173" spans="1:11" ht="19.5" thickBot="1" x14ac:dyDescent="0.35">
      <c r="A173" s="653" t="s">
        <v>48</v>
      </c>
      <c r="B173" s="654"/>
      <c r="C173" s="654"/>
      <c r="D173" s="664"/>
      <c r="E173" s="656" t="s">
        <v>106</v>
      </c>
      <c r="F173" s="656" t="s">
        <v>206</v>
      </c>
      <c r="G173" s="7"/>
      <c r="H173" s="135"/>
      <c r="I173" s="135"/>
      <c r="J173" s="135"/>
      <c r="K173" s="135"/>
    </row>
    <row r="174" spans="1:11" ht="27" thickBot="1" x14ac:dyDescent="0.45">
      <c r="A174" s="665"/>
      <c r="B174" s="657"/>
      <c r="C174" s="658" t="s">
        <v>290</v>
      </c>
      <c r="D174" s="178" t="e">
        <f>D154+D160+D165</f>
        <v>#DIV/0!</v>
      </c>
      <c r="E174" s="179" t="e">
        <f>D174/D176</f>
        <v>#DIV/0!</v>
      </c>
      <c r="F174" s="176" t="e">
        <f>D174/Stammdaten!B7</f>
        <v>#DIV/0!</v>
      </c>
      <c r="G174" s="7"/>
      <c r="H174" s="135"/>
      <c r="I174" s="108" t="s">
        <v>265</v>
      </c>
      <c r="J174" s="160" t="e">
        <f>D174-E149</f>
        <v>#DIV/0!</v>
      </c>
      <c r="K174" s="135"/>
    </row>
    <row r="175" spans="1:11" ht="27" thickBot="1" x14ac:dyDescent="0.45">
      <c r="A175" s="660"/>
      <c r="B175" s="38"/>
      <c r="C175" s="666" t="s">
        <v>7</v>
      </c>
      <c r="D175" s="178" t="e">
        <f>D161+D155+D166</f>
        <v>#DIV/0!</v>
      </c>
      <c r="E175" s="179" t="e">
        <f>D175/D176</f>
        <v>#DIV/0!</v>
      </c>
      <c r="F175" s="175" t="e">
        <f>D175/Stammdaten!B7</f>
        <v>#DIV/0!</v>
      </c>
      <c r="G175" s="7"/>
      <c r="H175" s="135"/>
      <c r="I175" s="108" t="s">
        <v>265</v>
      </c>
      <c r="J175" s="160" t="e">
        <f>D175-F149</f>
        <v>#DIV/0!</v>
      </c>
      <c r="K175" s="135"/>
    </row>
    <row r="176" spans="1:11" x14ac:dyDescent="0.25">
      <c r="A176" s="660"/>
      <c r="B176" s="667"/>
      <c r="C176" s="667"/>
      <c r="D176" s="175" t="e">
        <f>D175+D174</f>
        <v>#DIV/0!</v>
      </c>
      <c r="E176" s="668" t="e">
        <f>+SUM(E174:E175)</f>
        <v>#DIV/0!</v>
      </c>
      <c r="F176" s="175" t="e">
        <f>F175+F174</f>
        <v>#DIV/0!</v>
      </c>
      <c r="G176" s="603"/>
      <c r="H176" s="135"/>
      <c r="I176" s="108" t="s">
        <v>265</v>
      </c>
      <c r="J176" s="160" t="e">
        <f>D176-D154-D160-D155-D161-D165-D166</f>
        <v>#DIV/0!</v>
      </c>
      <c r="K176" s="135"/>
    </row>
    <row r="177" spans="1:11" x14ac:dyDescent="0.25">
      <c r="A177" s="153"/>
      <c r="B177" s="153"/>
      <c r="C177" s="153"/>
      <c r="D177" s="153"/>
      <c r="E177" s="153"/>
      <c r="F177" s="153"/>
      <c r="G177" s="135"/>
      <c r="H177" s="135"/>
      <c r="I177" s="135"/>
      <c r="J177" s="135"/>
      <c r="K177" s="135"/>
    </row>
    <row r="178" spans="1:11" x14ac:dyDescent="0.25">
      <c r="A178" s="669" t="s">
        <v>252</v>
      </c>
      <c r="B178" s="670"/>
      <c r="C178" s="670"/>
      <c r="D178" s="670"/>
      <c r="E178" s="670"/>
      <c r="F178" s="670"/>
      <c r="G178" s="671"/>
      <c r="H178" s="154"/>
      <c r="I178" s="154"/>
      <c r="J178" s="154"/>
      <c r="K178" s="135"/>
    </row>
    <row r="179" spans="1:11" x14ac:dyDescent="0.25">
      <c r="A179" s="672" t="s">
        <v>173</v>
      </c>
      <c r="B179" s="673"/>
      <c r="C179" s="673"/>
      <c r="D179" s="673"/>
      <c r="E179" s="673"/>
      <c r="F179" s="673"/>
      <c r="G179" s="674"/>
      <c r="H179" s="154"/>
      <c r="I179" s="154"/>
      <c r="J179" s="154"/>
      <c r="K179" s="135"/>
    </row>
    <row r="180" spans="1:11" x14ac:dyDescent="0.25">
      <c r="A180" s="672" t="s">
        <v>291</v>
      </c>
      <c r="B180" s="673"/>
      <c r="C180" s="673"/>
      <c r="D180" s="673"/>
      <c r="E180" s="673"/>
      <c r="F180" s="673"/>
      <c r="G180" s="674"/>
      <c r="H180" s="154"/>
      <c r="I180" s="154"/>
      <c r="J180" s="154"/>
      <c r="K180" s="135"/>
    </row>
    <row r="181" spans="1:11" x14ac:dyDescent="0.25">
      <c r="A181" s="672" t="s">
        <v>165</v>
      </c>
      <c r="B181" s="673"/>
      <c r="C181" s="673"/>
      <c r="D181" s="673"/>
      <c r="E181" s="673"/>
      <c r="F181" s="673"/>
      <c r="G181" s="674"/>
      <c r="H181" s="154"/>
      <c r="I181" s="154"/>
      <c r="J181" s="154"/>
      <c r="K181" s="135"/>
    </row>
    <row r="182" spans="1:11" x14ac:dyDescent="0.25">
      <c r="A182" s="672" t="s">
        <v>166</v>
      </c>
      <c r="B182" s="673"/>
      <c r="C182" s="673"/>
      <c r="D182" s="673"/>
      <c r="E182" s="673"/>
      <c r="F182" s="673"/>
      <c r="G182" s="674"/>
      <c r="H182" s="154"/>
      <c r="I182" s="154"/>
      <c r="J182" s="154"/>
      <c r="K182" s="135"/>
    </row>
    <row r="183" spans="1:11" ht="45" x14ac:dyDescent="0.25">
      <c r="A183" s="672"/>
      <c r="B183" s="673"/>
      <c r="C183" s="673"/>
      <c r="D183" s="673"/>
      <c r="E183" s="675" t="s">
        <v>167</v>
      </c>
      <c r="F183" s="675" t="s">
        <v>168</v>
      </c>
      <c r="G183" s="674"/>
      <c r="H183" s="154"/>
      <c r="I183" s="154"/>
      <c r="J183" s="154"/>
      <c r="K183" s="135"/>
    </row>
    <row r="184" spans="1:11" x14ac:dyDescent="0.25">
      <c r="A184" s="672" t="s">
        <v>169</v>
      </c>
      <c r="B184" s="673"/>
      <c r="C184" s="673"/>
      <c r="D184" s="180">
        <f>D66</f>
        <v>0</v>
      </c>
      <c r="E184" s="181" t="e">
        <f>D184/D192</f>
        <v>#DIV/0!</v>
      </c>
      <c r="F184" s="181" t="e">
        <f>D184/D186</f>
        <v>#DIV/0!</v>
      </c>
      <c r="G184" s="674"/>
      <c r="H184" s="154"/>
      <c r="I184" s="155"/>
      <c r="J184" s="155"/>
      <c r="K184" s="135"/>
    </row>
    <row r="185" spans="1:11" x14ac:dyDescent="0.25">
      <c r="A185" s="676" t="s">
        <v>170</v>
      </c>
      <c r="B185" s="677"/>
      <c r="C185" s="677"/>
      <c r="D185" s="182" t="e">
        <f>D160+D165</f>
        <v>#DIV/0!</v>
      </c>
      <c r="E185" s="183" t="e">
        <f>D185/D192</f>
        <v>#DIV/0!</v>
      </c>
      <c r="F185" s="183" t="e">
        <f>D185/D186</f>
        <v>#DIV/0!</v>
      </c>
      <c r="G185" s="674"/>
      <c r="H185" s="154"/>
      <c r="I185" s="154"/>
      <c r="J185" s="155"/>
      <c r="K185" s="135"/>
    </row>
    <row r="186" spans="1:11" x14ac:dyDescent="0.25">
      <c r="A186" s="672"/>
      <c r="B186" s="673"/>
      <c r="C186" s="673"/>
      <c r="D186" s="180" t="e">
        <f>SUM(D184:D185)</f>
        <v>#DIV/0!</v>
      </c>
      <c r="E186" s="184" t="e">
        <f>SUM(E184:E185)</f>
        <v>#DIV/0!</v>
      </c>
      <c r="F186" s="184" t="e">
        <f>SUM(F184:F185)</f>
        <v>#DIV/0!</v>
      </c>
      <c r="G186" s="674"/>
      <c r="H186" s="154"/>
      <c r="I186" s="154"/>
      <c r="J186" s="155"/>
      <c r="K186" s="135"/>
    </row>
    <row r="187" spans="1:11" x14ac:dyDescent="0.25">
      <c r="A187" s="672"/>
      <c r="B187" s="673"/>
      <c r="C187" s="673"/>
      <c r="D187" s="180"/>
      <c r="E187" s="678"/>
      <c r="F187" s="679"/>
      <c r="G187" s="674"/>
      <c r="H187" s="154"/>
      <c r="I187" s="154"/>
      <c r="J187" s="154"/>
      <c r="K187" s="135"/>
    </row>
    <row r="188" spans="1:11" x14ac:dyDescent="0.25">
      <c r="A188" s="672" t="s">
        <v>7</v>
      </c>
      <c r="B188" s="673"/>
      <c r="C188" s="673"/>
      <c r="D188" s="180">
        <f>D91</f>
        <v>0</v>
      </c>
      <c r="E188" s="678"/>
      <c r="F188" s="679"/>
      <c r="G188" s="674"/>
      <c r="H188" s="154"/>
      <c r="I188" s="154"/>
      <c r="J188" s="154"/>
      <c r="K188" s="135"/>
    </row>
    <row r="189" spans="1:11" x14ac:dyDescent="0.25">
      <c r="A189" s="676" t="s">
        <v>171</v>
      </c>
      <c r="B189" s="677"/>
      <c r="C189" s="677"/>
      <c r="D189" s="182" t="e">
        <f>D161+D166</f>
        <v>#DIV/0!</v>
      </c>
      <c r="E189" s="678"/>
      <c r="F189" s="679"/>
      <c r="G189" s="674"/>
      <c r="H189" s="154"/>
      <c r="I189" s="135"/>
      <c r="J189" s="135"/>
      <c r="K189" s="135"/>
    </row>
    <row r="190" spans="1:11" x14ac:dyDescent="0.25">
      <c r="A190" s="672"/>
      <c r="B190" s="673"/>
      <c r="C190" s="673"/>
      <c r="D190" s="180" t="e">
        <f>SUM(D188:D189)</f>
        <v>#DIV/0!</v>
      </c>
      <c r="E190" s="185" t="e">
        <f>D190/D192</f>
        <v>#DIV/0!</v>
      </c>
      <c r="F190" s="186" t="s">
        <v>172</v>
      </c>
      <c r="G190" s="674"/>
      <c r="H190" s="154"/>
      <c r="I190" s="450" t="s">
        <v>265</v>
      </c>
      <c r="J190" s="187" t="e">
        <f>D190+D186-D169-D170</f>
        <v>#DIV/0!</v>
      </c>
      <c r="K190" s="135"/>
    </row>
    <row r="191" spans="1:11" ht="15.75" thickBot="1" x14ac:dyDescent="0.3">
      <c r="A191" s="680"/>
      <c r="B191" s="681"/>
      <c r="C191" s="681"/>
      <c r="D191" s="682"/>
      <c r="E191" s="679"/>
      <c r="F191" s="679"/>
      <c r="G191" s="674"/>
      <c r="H191" s="154"/>
      <c r="I191" s="154"/>
      <c r="J191" s="154"/>
      <c r="K191" s="135"/>
    </row>
    <row r="192" spans="1:11" ht="15.75" thickTop="1" x14ac:dyDescent="0.25">
      <c r="A192" s="676"/>
      <c r="B192" s="677"/>
      <c r="C192" s="677"/>
      <c r="D192" s="182" t="e">
        <f>D190+D186</f>
        <v>#DIV/0!</v>
      </c>
      <c r="E192" s="683"/>
      <c r="F192" s="683"/>
      <c r="G192" s="684"/>
      <c r="H192" s="154"/>
      <c r="I192" s="154"/>
      <c r="J192" s="154"/>
      <c r="K192" s="135"/>
    </row>
  </sheetData>
  <sheetProtection sheet="1" objects="1" scenarios="1"/>
  <mergeCells count="5">
    <mergeCell ref="A5:G5"/>
    <mergeCell ref="A109:D109"/>
    <mergeCell ref="A110:G110"/>
    <mergeCell ref="A129:D129"/>
    <mergeCell ref="A130:G130"/>
  </mergeCells>
  <conditionalFormatting sqref="J66">
    <cfRule type="expression" dxfId="134" priority="4">
      <formula>$J$166=""</formula>
    </cfRule>
    <cfRule type="expression" dxfId="133" priority="5">
      <formula>OR(J66&lt;-0.0009,J66&gt;0.0009)</formula>
    </cfRule>
  </conditionalFormatting>
  <conditionalFormatting sqref="J91">
    <cfRule type="expression" dxfId="132" priority="6">
      <formula>$J$166=""</formula>
    </cfRule>
    <cfRule type="expression" dxfId="131" priority="7">
      <formula>OR(J91&lt;-0.0009,J91&gt;0.0009)</formula>
    </cfRule>
  </conditionalFormatting>
  <conditionalFormatting sqref="J107">
    <cfRule type="expression" dxfId="130" priority="8">
      <formula>$J$166=""</formula>
    </cfRule>
    <cfRule type="expression" dxfId="129" priority="9">
      <formula>OR(J107&lt;-0.0009,J107&gt;0.0009)</formula>
    </cfRule>
  </conditionalFormatting>
  <conditionalFormatting sqref="J127">
    <cfRule type="expression" dxfId="128" priority="10">
      <formula>$J$166=""</formula>
    </cfRule>
    <cfRule type="expression" dxfId="127" priority="11">
      <formula>OR(J127&lt;-0.0009,J127&gt;0.0009)</formula>
    </cfRule>
  </conditionalFormatting>
  <conditionalFormatting sqref="J147">
    <cfRule type="expression" dxfId="126" priority="12">
      <formula>$J$166=""</formula>
    </cfRule>
    <cfRule type="expression" dxfId="125" priority="13">
      <formula>OR(J147&lt;-0.0009,J147&gt;0.0009)</formula>
    </cfRule>
  </conditionalFormatting>
  <conditionalFormatting sqref="J149">
    <cfRule type="expression" dxfId="124" priority="14">
      <formula>$J$166=""</formula>
    </cfRule>
    <cfRule type="expression" dxfId="123" priority="15">
      <formula>OR(J149&lt;-0.0009,J149&gt;0.0009)</formula>
    </cfRule>
  </conditionalFormatting>
  <conditionalFormatting sqref="J166">
    <cfRule type="expression" dxfId="122" priority="24">
      <formula>$J$166=""</formula>
    </cfRule>
    <cfRule type="expression" dxfId="121" priority="40">
      <formula>OR(J166&lt;-0.0009,J166&gt;0.0009)</formula>
    </cfRule>
  </conditionalFormatting>
  <conditionalFormatting sqref="J169:J172">
    <cfRule type="expression" dxfId="120" priority="20">
      <formula>$J$166=""</formula>
    </cfRule>
    <cfRule type="expression" dxfId="119" priority="21">
      <formula>OR(J169&lt;-0.0009,J169&gt;0.0009)</formula>
    </cfRule>
  </conditionalFormatting>
  <conditionalFormatting sqref="J174:J176">
    <cfRule type="expression" dxfId="118" priority="16">
      <formula>$J$166=""</formula>
    </cfRule>
    <cfRule type="expression" dxfId="117" priority="17">
      <formula>OR(J174&lt;-0.0009,J174&gt;0.0009)</formula>
    </cfRule>
  </conditionalFormatting>
  <conditionalFormatting sqref="J190">
    <cfRule type="expression" dxfId="116" priority="2">
      <formula>$J$166=""</formula>
    </cfRule>
    <cfRule type="expression" dxfId="115" priority="3">
      <formula>OR(J190&lt;-0.0009,J190&gt;0.0009)</formula>
    </cfRule>
  </conditionalFormatting>
  <pageMargins left="0.7" right="0.7" top="0.78740157499999996" bottom="0.78740157499999996" header="0.3" footer="0.3"/>
  <pageSetup paperSize="9" scale="71" fitToWidth="0" fitToHeight="0" orientation="portrait" r:id="rId1"/>
  <rowBreaks count="3" manualBreakCount="3">
    <brk id="66" max="6" man="1"/>
    <brk id="128" max="6" man="1"/>
    <brk id="180" max="6" man="1"/>
  </rowBreaks>
  <ignoredErrors>
    <ignoredError sqref="D153:J153 E132:J146 F129 E121:J126 D163:J163 E160 D151:E151 G151:J151 E176 D173:E173 G173:J173 D158:J158 H154:J154 H155:J155 G160:J160 E161 G161:J161 D167:J168 E165 G165:J165 E166 G166:H166 G174:H174 G175:H175 F172:H172 F169:H169 F170:H170 F171:H171 G176:H176 F152:J152 F156:J156 F157:J157 E159:J159 E162:J162 E164:J164 F149:H149 E148:J148 E147:H147 E127:H127"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O132"/>
  <sheetViews>
    <sheetView zoomScaleNormal="100" workbookViewId="0">
      <selection activeCell="A4" sqref="A4"/>
    </sheetView>
  </sheetViews>
  <sheetFormatPr baseColWidth="10" defaultColWidth="11.42578125" defaultRowHeight="15" x14ac:dyDescent="0.25"/>
  <cols>
    <col min="1" max="1" width="22" style="113" customWidth="1"/>
    <col min="2" max="2" width="29.28515625" style="113" customWidth="1"/>
    <col min="3" max="3" width="12.85546875" style="246" customWidth="1"/>
    <col min="4" max="4" width="17.7109375" style="246" bestFit="1" customWidth="1"/>
    <col min="5" max="5" width="16.42578125" style="113" customWidth="1"/>
    <col min="6" max="6" width="15.85546875" style="113" customWidth="1"/>
    <col min="7" max="7" width="5.28515625" style="60" customWidth="1"/>
    <col min="8" max="8" width="12.140625" style="113" customWidth="1"/>
    <col min="9" max="9" width="14.42578125" style="113" bestFit="1" customWidth="1"/>
    <col min="10" max="16384" width="11.42578125" style="113"/>
  </cols>
  <sheetData>
    <row r="1" spans="1:8" ht="26.25" x14ac:dyDescent="0.4">
      <c r="A1" s="523" t="s">
        <v>287</v>
      </c>
      <c r="B1" s="528"/>
      <c r="C1" s="531"/>
      <c r="D1" s="531"/>
      <c r="E1" s="528"/>
      <c r="F1" s="518"/>
    </row>
    <row r="2" spans="1:8" ht="26.25" x14ac:dyDescent="0.4">
      <c r="A2" s="524" t="s">
        <v>139</v>
      </c>
      <c r="B2" s="439"/>
      <c r="C2" s="532"/>
      <c r="D2" s="532"/>
      <c r="E2" s="439"/>
      <c r="F2" s="525" t="str">
        <f>+Stammdaten!D2</f>
        <v>Version 2.0</v>
      </c>
    </row>
    <row r="3" spans="1:8" x14ac:dyDescent="0.25">
      <c r="A3" s="361">
        <f>+Stammdaten!B5</f>
        <v>0</v>
      </c>
      <c r="B3" s="282"/>
      <c r="C3" s="282">
        <f>+Stammdaten!B3</f>
        <v>0</v>
      </c>
      <c r="D3" s="282"/>
      <c r="E3" s="526" t="s">
        <v>36</v>
      </c>
      <c r="F3" s="527"/>
      <c r="H3" s="189"/>
    </row>
    <row r="4" spans="1:8" ht="15.75" thickBot="1" x14ac:dyDescent="0.3">
      <c r="A4" s="190"/>
      <c r="B4" s="114"/>
      <c r="C4" s="114"/>
      <c r="D4" s="114"/>
      <c r="E4" s="114"/>
      <c r="F4" s="191"/>
      <c r="H4" s="189"/>
    </row>
    <row r="5" spans="1:8" ht="153.75" customHeight="1" thickBot="1" x14ac:dyDescent="0.3">
      <c r="A5" s="1005" t="s">
        <v>373</v>
      </c>
      <c r="B5" s="974"/>
      <c r="C5" s="974"/>
      <c r="D5" s="974"/>
      <c r="E5" s="974"/>
      <c r="F5" s="975"/>
      <c r="G5" s="119"/>
      <c r="H5" s="189"/>
    </row>
    <row r="6" spans="1:8" x14ac:dyDescent="0.25">
      <c r="A6" s="1016" t="s">
        <v>247</v>
      </c>
      <c r="B6" s="1010" t="s">
        <v>285</v>
      </c>
      <c r="C6" s="1011"/>
      <c r="D6" s="1006"/>
      <c r="E6" s="432"/>
      <c r="F6" s="438"/>
      <c r="G6" s="369" t="str">
        <f>+IF(AND(D6="x",D8="x"),"Bitte wählen Sie ENTWEDER Berechnung mit Ist-Kosten ODER die Verwendung des bisherigen IK-Satzes!","")</f>
        <v/>
      </c>
      <c r="H6" s="189"/>
    </row>
    <row r="7" spans="1:8" ht="15.75" thickBot="1" x14ac:dyDescent="0.3">
      <c r="A7" s="1017"/>
      <c r="B7" s="434"/>
      <c r="C7" s="933" t="s">
        <v>250</v>
      </c>
      <c r="D7" s="1007"/>
      <c r="E7" s="439"/>
      <c r="F7" s="440"/>
      <c r="G7" s="369" t="str">
        <f>+IF(AND(D6="x",D10="x"),"Bitte wählen Sie ENTWEDER Berechnung mit Ist-Kosten ODER Sanierung","")</f>
        <v/>
      </c>
      <c r="H7" s="189"/>
    </row>
    <row r="8" spans="1:8" ht="29.25" customHeight="1" x14ac:dyDescent="0.25">
      <c r="A8" s="1018"/>
      <c r="B8" s="1012" t="s">
        <v>249</v>
      </c>
      <c r="C8" s="1011"/>
      <c r="D8" s="1006"/>
      <c r="E8" s="463" t="str">
        <f>IF(D8="x","bisherigen IK-Satz","")</f>
        <v/>
      </c>
      <c r="F8" s="1008"/>
      <c r="G8" s="369" t="str">
        <f>+IF(AND(D8="x",D10="x"),"Bitte wählen Sie ENTWEDER Berechnung mit altem-IK-Satz ODER Sanierung!","")</f>
        <v/>
      </c>
      <c r="H8" s="189"/>
    </row>
    <row r="9" spans="1:8" ht="15.75" thickBot="1" x14ac:dyDescent="0.3">
      <c r="A9" s="1019"/>
      <c r="B9" s="434"/>
      <c r="C9" s="933" t="s">
        <v>251</v>
      </c>
      <c r="D9" s="1007"/>
      <c r="E9" s="464" t="str">
        <f>IF(D8="x","hier eintragen =&gt;","")</f>
        <v/>
      </c>
      <c r="F9" s="1009"/>
      <c r="G9" s="119"/>
      <c r="H9" s="189"/>
    </row>
    <row r="10" spans="1:8" ht="30.75" customHeight="1" x14ac:dyDescent="0.25">
      <c r="A10" s="1020"/>
      <c r="B10" s="1012" t="s">
        <v>356</v>
      </c>
      <c r="C10" s="1011"/>
      <c r="D10" s="1006"/>
      <c r="E10" s="931" t="str">
        <f>IF(D10="x","anerkennbarer anteiliger IK-Satz","")</f>
        <v/>
      </c>
      <c r="F10" s="1014"/>
      <c r="G10" s="934" t="str">
        <f>IF(D10="x","Der anerkennbare anteilige Alt-IK für die weiterhin verwendete Altbausubstanz","")</f>
        <v/>
      </c>
      <c r="H10" s="189"/>
    </row>
    <row r="11" spans="1:8" ht="15.75" thickBot="1" x14ac:dyDescent="0.3">
      <c r="A11" s="1021"/>
      <c r="B11" s="434"/>
      <c r="C11" s="933" t="s">
        <v>335</v>
      </c>
      <c r="D11" s="1013"/>
      <c r="E11" s="932" t="str">
        <f>IF(D10="x","hier eintragen =&gt;","")</f>
        <v/>
      </c>
      <c r="F11" s="1015"/>
      <c r="G11" s="934" t="str">
        <f>IF(D10="x","muss im Einzelfall verhandelt und dann hier eingesetzt werden, siehe Ausfüllhilfe.","")</f>
        <v/>
      </c>
      <c r="H11" s="189"/>
    </row>
    <row r="12" spans="1:8" ht="15.75" thickBot="1" x14ac:dyDescent="0.3">
      <c r="A12" s="190"/>
      <c r="B12" s="114"/>
      <c r="C12" s="114"/>
      <c r="D12" s="114"/>
      <c r="E12" s="114"/>
      <c r="F12" s="371" t="str">
        <f>IF(AND(D6="x",F8&gt;0),"Der bisherige IK-Satz ist nur einzutragen, wenn eine Berechnung auf dieser Basis erfolgen soll. Ggfs. bitte x in Feld D8 eintragen.","")</f>
        <v/>
      </c>
      <c r="G12" s="119"/>
      <c r="H12" s="189"/>
    </row>
    <row r="13" spans="1:8" ht="122.25" customHeight="1" thickBot="1" x14ac:dyDescent="0.3">
      <c r="A13" s="1031" t="s">
        <v>362</v>
      </c>
      <c r="B13" s="974"/>
      <c r="C13" s="974"/>
      <c r="D13" s="974"/>
      <c r="E13" s="974"/>
      <c r="F13" s="975"/>
      <c r="G13" s="369" t="str">
        <f>+IF(AND(D8="x",D14="x"),"Achtung: diese Auswahl-Möglichkeit haben Sie nur bei Rechnung mit Ist-Kosten!","")</f>
        <v/>
      </c>
      <c r="H13" s="189"/>
    </row>
    <row r="14" spans="1:8" ht="44.25" customHeight="1" x14ac:dyDescent="0.25">
      <c r="A14" s="1032" t="s">
        <v>247</v>
      </c>
      <c r="B14" s="1022" t="s">
        <v>258</v>
      </c>
      <c r="C14" s="1011"/>
      <c r="D14" s="1036"/>
      <c r="E14" s="460" t="str">
        <f>+IF(D14="x","Anteil persönl.
Wohnfläche","")</f>
        <v/>
      </c>
      <c r="F14" s="461" t="str">
        <f>+IF(D14="x",'A Flächen'!E174,"")</f>
        <v/>
      </c>
      <c r="G14" s="369" t="str">
        <f>+IF(AND(D14="x",D16="x"),"Bitte wählen Sie ENTWEDER Kosten nur für Heimbereich ODER die Kosten für Gesamtgebäude inkl. freier Flächen!","")</f>
        <v/>
      </c>
      <c r="H14" s="189"/>
    </row>
    <row r="15" spans="1:8" ht="31.5" customHeight="1" thickBot="1" x14ac:dyDescent="0.3">
      <c r="A15" s="1033"/>
      <c r="B15" s="434"/>
      <c r="C15" s="933" t="s">
        <v>363</v>
      </c>
      <c r="D15" s="1037"/>
      <c r="E15" s="437" t="str">
        <f>+IF(D14="x","Anteil Fachleist.
Fläche","")</f>
        <v/>
      </c>
      <c r="F15" s="462" t="str">
        <f>+IF(D14="x",'A Flächen'!E175,"")</f>
        <v/>
      </c>
      <c r="G15" s="369" t="str">
        <f>+IF(AND(D14="",D16="",D6="x"),"Bitte wählen Sie ENTWEDER Kosten nur Heimbereich ODER Kosten für Gesamtgebäude inkl. freier Flächen!","")</f>
        <v/>
      </c>
      <c r="H15" s="189"/>
    </row>
    <row r="16" spans="1:8" ht="47.25" customHeight="1" x14ac:dyDescent="0.25">
      <c r="A16" s="1034"/>
      <c r="B16" s="1038" t="s">
        <v>259</v>
      </c>
      <c r="C16" s="1011"/>
      <c r="D16" s="1036"/>
      <c r="E16" s="460" t="str">
        <f>+IF(D16="x","Anteil persönl.
Wohnfläche","")</f>
        <v/>
      </c>
      <c r="F16" s="461" t="str">
        <f>+IF(D16="x",'A Flächen'!E169,"")</f>
        <v/>
      </c>
      <c r="G16" s="449"/>
      <c r="H16" s="189"/>
    </row>
    <row r="17" spans="1:9" ht="30.75" customHeight="1" thickBot="1" x14ac:dyDescent="0.3">
      <c r="A17" s="1035"/>
      <c r="B17" s="434"/>
      <c r="C17" s="933" t="s">
        <v>360</v>
      </c>
      <c r="D17" s="1037"/>
      <c r="E17" s="437" t="str">
        <f>+IF(D16="x","Anteil Fachleist.
Fläche","")</f>
        <v/>
      </c>
      <c r="F17" s="462" t="str">
        <f>+IF(D16="x",'A Flächen'!E170,"")</f>
        <v/>
      </c>
      <c r="G17" s="449"/>
      <c r="H17" s="189"/>
    </row>
    <row r="18" spans="1:9" ht="15.75" thickBot="1" x14ac:dyDescent="0.3">
      <c r="A18" s="190"/>
      <c r="B18" s="114"/>
      <c r="C18" s="114"/>
      <c r="D18" s="114"/>
      <c r="E18" s="114"/>
      <c r="F18" s="371"/>
      <c r="G18" s="369" t="str">
        <f>+IF(AND(D8="x",D16="x"),"Achtung: diese Auswahl-Möglichkeit haben Sie nur bei Rechnung mit Ist-Kosten!","")</f>
        <v/>
      </c>
      <c r="H18" s="189"/>
    </row>
    <row r="19" spans="1:9" ht="87.95" customHeight="1" thickBot="1" x14ac:dyDescent="0.3">
      <c r="A19" s="996" t="s">
        <v>364</v>
      </c>
      <c r="B19" s="1025"/>
      <c r="C19" s="1025"/>
      <c r="D19" s="1025"/>
      <c r="E19" s="1025"/>
      <c r="F19" s="1026"/>
      <c r="G19" s="369"/>
      <c r="H19" s="189"/>
    </row>
    <row r="20" spans="1:9" ht="29.25" customHeight="1" x14ac:dyDescent="0.25">
      <c r="A20" s="1023" t="s">
        <v>247</v>
      </c>
      <c r="B20" s="1022" t="s">
        <v>284</v>
      </c>
      <c r="C20" s="1011"/>
      <c r="D20" s="1006"/>
      <c r="E20" s="1027" t="str">
        <f>+IF(D20="x","Bitte tragen Sie die gesamten AHK in Feld D31 ein.","")</f>
        <v/>
      </c>
      <c r="F20" s="1028"/>
      <c r="G20" s="369"/>
      <c r="H20" s="189"/>
    </row>
    <row r="21" spans="1:9" ht="15.75" thickBot="1" x14ac:dyDescent="0.3">
      <c r="A21" s="1024"/>
      <c r="B21" s="434"/>
      <c r="C21" s="933" t="s">
        <v>365</v>
      </c>
      <c r="D21" s="1007"/>
      <c r="E21" s="1029"/>
      <c r="F21" s="1030"/>
      <c r="G21" s="369"/>
      <c r="H21" s="189"/>
    </row>
    <row r="22" spans="1:9" ht="15.75" thickBot="1" x14ac:dyDescent="0.3">
      <c r="A22" s="190"/>
      <c r="B22" s="114"/>
      <c r="C22" s="114"/>
      <c r="D22" s="114"/>
      <c r="E22" s="114"/>
      <c r="F22" s="371"/>
      <c r="G22" s="369"/>
      <c r="H22" s="189"/>
    </row>
    <row r="23" spans="1:9" ht="29.25" customHeight="1" x14ac:dyDescent="0.25">
      <c r="A23" s="1039" t="s">
        <v>375</v>
      </c>
      <c r="B23" s="1022" t="s">
        <v>376</v>
      </c>
      <c r="C23" s="1011"/>
      <c r="D23" s="1006"/>
      <c r="E23" s="1027" t="str">
        <f>+IF(D23="x","Bitte tragen Sie die beantragte Auslastung in Feld B110 ein.","")</f>
        <v/>
      </c>
      <c r="F23" s="1028"/>
      <c r="G23" s="369"/>
      <c r="H23" s="189"/>
    </row>
    <row r="24" spans="1:9" ht="15.75" thickBot="1" x14ac:dyDescent="0.3">
      <c r="A24" s="1040"/>
      <c r="B24" s="434"/>
      <c r="C24" s="933" t="s">
        <v>358</v>
      </c>
      <c r="D24" s="1007"/>
      <c r="E24" s="1029"/>
      <c r="F24" s="1030"/>
      <c r="G24" s="369"/>
      <c r="H24" s="189"/>
    </row>
    <row r="25" spans="1:9" ht="29.25" customHeight="1" x14ac:dyDescent="0.25">
      <c r="A25" s="1039" t="s">
        <v>374</v>
      </c>
      <c r="B25" s="1022" t="s">
        <v>377</v>
      </c>
      <c r="C25" s="1011"/>
      <c r="D25" s="1006"/>
      <c r="E25" s="1027" t="str">
        <f>+IF(D25="x","Bitte tragen Sie die beantragte Auslastung in Feld B110 ein.","")</f>
        <v/>
      </c>
      <c r="F25" s="1028"/>
      <c r="G25" s="369"/>
      <c r="H25" s="189"/>
    </row>
    <row r="26" spans="1:9" ht="15.75" thickBot="1" x14ac:dyDescent="0.3">
      <c r="A26" s="1040"/>
      <c r="B26" s="434"/>
      <c r="C26" s="933" t="s">
        <v>359</v>
      </c>
      <c r="D26" s="1007"/>
      <c r="E26" s="1029"/>
      <c r="F26" s="1030"/>
      <c r="G26" s="369"/>
      <c r="H26" s="189"/>
    </row>
    <row r="27" spans="1:9" x14ac:dyDescent="0.25">
      <c r="A27" s="190"/>
      <c r="B27" s="114"/>
      <c r="C27" s="114"/>
      <c r="D27" s="114"/>
      <c r="E27" s="114"/>
      <c r="F27" s="371"/>
      <c r="G27" s="369"/>
      <c r="H27" s="312"/>
    </row>
    <row r="28" spans="1:9" ht="15.75" x14ac:dyDescent="0.25">
      <c r="A28" s="109"/>
      <c r="B28" s="686"/>
      <c r="C28" s="687"/>
      <c r="D28" s="32" t="s">
        <v>155</v>
      </c>
      <c r="E28" s="114"/>
      <c r="F28" s="191"/>
    </row>
    <row r="29" spans="1:9" x14ac:dyDescent="0.25">
      <c r="A29" s="688" t="s">
        <v>50</v>
      </c>
      <c r="B29" s="498"/>
      <c r="C29" s="498"/>
      <c r="D29" s="195"/>
      <c r="E29" s="114"/>
      <c r="F29" s="191"/>
    </row>
    <row r="30" spans="1:9" x14ac:dyDescent="0.25">
      <c r="A30" s="481" t="s">
        <v>51</v>
      </c>
      <c r="B30" s="1" t="s">
        <v>52</v>
      </c>
      <c r="C30" s="482"/>
      <c r="D30" s="196"/>
      <c r="E30" s="114"/>
      <c r="F30" s="197"/>
      <c r="H30" s="78"/>
      <c r="I30" s="78"/>
    </row>
    <row r="31" spans="1:9" x14ac:dyDescent="0.25">
      <c r="A31" s="31" t="str">
        <f>IF(D20="x","","Kostengruppe 200")</f>
        <v>Kostengruppe 200</v>
      </c>
      <c r="B31" s="3" t="str">
        <f>IF(D20="x","","Herrichten und Erschließen")</f>
        <v>Herrichten und Erschließen</v>
      </c>
      <c r="C31" s="7"/>
      <c r="D31" s="196"/>
      <c r="E31" s="114"/>
      <c r="F31" s="197"/>
      <c r="H31" s="78"/>
      <c r="I31" s="78"/>
    </row>
    <row r="32" spans="1:9" x14ac:dyDescent="0.25">
      <c r="A32" s="31" t="str">
        <f>IF(D20="x","Anschaffungskosten","Kostengruppe 300")</f>
        <v>Kostengruppe 300</v>
      </c>
      <c r="B32" s="37" t="str">
        <f>IF(D19="x","","Bauwerk - Baukonstruktion")</f>
        <v>Bauwerk - Baukonstruktion</v>
      </c>
      <c r="C32" s="7"/>
      <c r="D32" s="196"/>
      <c r="E32" s="114"/>
      <c r="F32" s="197"/>
      <c r="H32" s="78"/>
      <c r="I32" s="78"/>
    </row>
    <row r="33" spans="1:9" x14ac:dyDescent="0.25">
      <c r="A33" s="602" t="str">
        <f>IF(D20="x","","Kostengruppe 400")</f>
        <v>Kostengruppe 400</v>
      </c>
      <c r="B33" s="37" t="str">
        <f>IF(D20="x","","Bauwerk - Technische Anlagen")</f>
        <v>Bauwerk - Technische Anlagen</v>
      </c>
      <c r="C33" s="689"/>
      <c r="D33" s="196"/>
      <c r="E33" s="188"/>
      <c r="F33" s="197"/>
      <c r="H33" s="78"/>
      <c r="I33" s="78"/>
    </row>
    <row r="34" spans="1:9" x14ac:dyDescent="0.25">
      <c r="A34" s="602" t="str">
        <f>IF(D20="x","","Kostengruppe 500")</f>
        <v>Kostengruppe 500</v>
      </c>
      <c r="B34" s="37" t="str">
        <f>IF(D20="x","","Außenanlagen")</f>
        <v>Außenanlagen</v>
      </c>
      <c r="C34" s="689"/>
      <c r="D34" s="196"/>
      <c r="E34" s="188"/>
      <c r="F34" s="197"/>
      <c r="H34" s="78"/>
      <c r="I34" s="78"/>
    </row>
    <row r="35" spans="1:9" x14ac:dyDescent="0.25">
      <c r="A35" s="483" t="str">
        <f>IF(D20="x","","Kostengruppe 700")</f>
        <v>Kostengruppe 700</v>
      </c>
      <c r="B35" s="521" t="str">
        <f>IF(D20="x","","Baunebenkosten inkl. Bauherrenkosten")</f>
        <v>Baunebenkosten inkl. Bauherrenkosten</v>
      </c>
      <c r="C35" s="603"/>
      <c r="D35" s="196"/>
      <c r="E35" s="248"/>
      <c r="F35" s="197"/>
      <c r="G35" s="430"/>
      <c r="H35" s="210"/>
      <c r="I35" s="78"/>
    </row>
    <row r="36" spans="1:9" ht="15.75" x14ac:dyDescent="0.25">
      <c r="A36" s="690" t="s">
        <v>61</v>
      </c>
      <c r="B36" s="691"/>
      <c r="C36" s="692"/>
      <c r="D36" s="247">
        <f>SUM(D30:D35)</f>
        <v>0</v>
      </c>
      <c r="E36" s="114"/>
      <c r="F36" s="191"/>
      <c r="H36" s="249" t="str">
        <f>IF(OR(D6="x",D10="x"),D36-D30,"")</f>
        <v/>
      </c>
      <c r="I36" s="942" t="str">
        <f>IF(OR(D6="x",D10="x"),"ohne Grdstk","")</f>
        <v/>
      </c>
    </row>
    <row r="37" spans="1:9" ht="15.75" x14ac:dyDescent="0.25">
      <c r="A37" s="200"/>
      <c r="B37" s="193"/>
      <c r="C37" s="194"/>
      <c r="D37" s="201"/>
      <c r="E37" s="114"/>
      <c r="F37" s="191"/>
      <c r="H37" s="249" t="str">
        <f>IF(OR(D6="x",D10="x"),H36/Stammdaten!B7,"")</f>
        <v/>
      </c>
      <c r="I37" s="943" t="str">
        <f>IF(OR(D6="x",D10="x"),"pro Platz","")</f>
        <v/>
      </c>
    </row>
    <row r="38" spans="1:9" ht="15.75" x14ac:dyDescent="0.25">
      <c r="A38" s="690" t="s">
        <v>108</v>
      </c>
      <c r="B38" s="691"/>
      <c r="C38" s="692"/>
      <c r="D38" s="254"/>
      <c r="E38" s="114"/>
      <c r="F38" s="191"/>
      <c r="H38" s="78"/>
      <c r="I38" s="78"/>
    </row>
    <row r="39" spans="1:9" x14ac:dyDescent="0.25">
      <c r="A39" s="31"/>
      <c r="B39" s="3"/>
      <c r="C39" s="693"/>
      <c r="D39" s="694"/>
      <c r="E39" s="114"/>
      <c r="F39" s="191"/>
      <c r="H39" s="198"/>
    </row>
    <row r="40" spans="1:9" x14ac:dyDescent="0.25">
      <c r="A40" s="31" t="str">
        <f t="shared" ref="A40:B42" si="0">A32</f>
        <v>Kostengruppe 300</v>
      </c>
      <c r="B40" s="3" t="str">
        <f t="shared" si="0"/>
        <v>Bauwerk - Baukonstruktion</v>
      </c>
      <c r="C40" s="250">
        <f>IF(D32&gt;0,D40/(D40+D41+D42),0)</f>
        <v>0</v>
      </c>
      <c r="D40" s="251">
        <f>IF(D32&gt;0,D32+D35*(D32/(D32+D33+D34)),0)</f>
        <v>0</v>
      </c>
      <c r="E40" s="203"/>
      <c r="F40" s="191"/>
      <c r="H40" s="198"/>
      <c r="I40" s="78"/>
    </row>
    <row r="41" spans="1:9" x14ac:dyDescent="0.25">
      <c r="A41" s="31" t="str">
        <f t="shared" si="0"/>
        <v>Kostengruppe 400</v>
      </c>
      <c r="B41" s="37" t="str">
        <f t="shared" si="0"/>
        <v>Bauwerk - Technische Anlagen</v>
      </c>
      <c r="C41" s="250">
        <f>IF(D33&gt;0,D41/(D40+D41+D42),0)</f>
        <v>0</v>
      </c>
      <c r="D41" s="251">
        <f>IF(D33&gt;0,D33+D35*(D33/(D32+D33+D34)),0)</f>
        <v>0</v>
      </c>
      <c r="E41" s="188"/>
      <c r="F41" s="191"/>
      <c r="H41" s="78"/>
      <c r="I41" s="78"/>
    </row>
    <row r="42" spans="1:9" x14ac:dyDescent="0.25">
      <c r="A42" s="31" t="str">
        <f t="shared" si="0"/>
        <v>Kostengruppe 500</v>
      </c>
      <c r="B42" s="37" t="str">
        <f t="shared" si="0"/>
        <v>Außenanlagen</v>
      </c>
      <c r="C42" s="250">
        <f>IF(D34&gt;0,D42/(D40+D41+D42),0)</f>
        <v>0</v>
      </c>
      <c r="D42" s="252">
        <f>IF(D34&gt;0,D34+D35*(D34/(D32+D33+D34)),0)</f>
        <v>0</v>
      </c>
      <c r="E42" s="188"/>
      <c r="F42" s="191"/>
      <c r="H42" s="78"/>
      <c r="I42" s="78"/>
    </row>
    <row r="43" spans="1:9" ht="15.75" x14ac:dyDescent="0.25">
      <c r="A43" s="690" t="s">
        <v>115</v>
      </c>
      <c r="B43" s="691"/>
      <c r="C43" s="253">
        <f>SUM(C39:C42)-C39</f>
        <v>0</v>
      </c>
      <c r="D43" s="254">
        <f>SUM(D39:D42)</f>
        <v>0</v>
      </c>
      <c r="E43" s="114"/>
      <c r="F43" s="191"/>
      <c r="H43" s="108" t="str">
        <f>IF(D6="x","Kontrolle","")</f>
        <v/>
      </c>
      <c r="I43" s="160" t="str">
        <f>IF(D6="x",D32+D33+D34+D35-D43,"")</f>
        <v/>
      </c>
    </row>
    <row r="44" spans="1:9" ht="15.75" x14ac:dyDescent="0.25">
      <c r="A44" s="204"/>
      <c r="B44" s="205"/>
      <c r="C44" s="206"/>
      <c r="D44" s="207"/>
      <c r="E44" s="114"/>
      <c r="F44" s="197"/>
      <c r="H44" s="84"/>
      <c r="I44" s="78"/>
    </row>
    <row r="45" spans="1:9" ht="15.75" x14ac:dyDescent="0.25">
      <c r="A45" s="690" t="s">
        <v>62</v>
      </c>
      <c r="B45" s="691"/>
      <c r="C45" s="692"/>
      <c r="D45" s="254"/>
      <c r="E45" s="114"/>
      <c r="F45" s="197"/>
      <c r="H45" s="78"/>
      <c r="I45" s="78"/>
    </row>
    <row r="46" spans="1:9" x14ac:dyDescent="0.25">
      <c r="A46" s="31" t="str">
        <f>A31</f>
        <v>Kostengruppe 200</v>
      </c>
      <c r="B46" s="3" t="str">
        <f>B31</f>
        <v>Herrichten und Erschließen</v>
      </c>
      <c r="C46" s="693"/>
      <c r="D46" s="251"/>
      <c r="E46" s="114"/>
      <c r="F46" s="197"/>
      <c r="H46" s="78"/>
      <c r="I46" s="78"/>
    </row>
    <row r="47" spans="1:9" x14ac:dyDescent="0.25">
      <c r="A47" s="31" t="str">
        <f>A40</f>
        <v>Kostengruppe 300</v>
      </c>
      <c r="B47" s="3" t="str">
        <f>B32</f>
        <v>Bauwerk - Baukonstruktion</v>
      </c>
      <c r="C47" s="250">
        <f>C40</f>
        <v>0</v>
      </c>
      <c r="D47" s="255">
        <f>+C47*D50</f>
        <v>0</v>
      </c>
      <c r="E47" s="203"/>
      <c r="F47" s="208"/>
      <c r="H47" s="199"/>
      <c r="I47" s="78"/>
    </row>
    <row r="48" spans="1:9" x14ac:dyDescent="0.25">
      <c r="A48" s="602" t="str">
        <f>A41</f>
        <v>Kostengruppe 400</v>
      </c>
      <c r="B48" s="3" t="str">
        <f>B33</f>
        <v>Bauwerk - Technische Anlagen</v>
      </c>
      <c r="C48" s="250">
        <f>C41</f>
        <v>0</v>
      </c>
      <c r="D48" s="255">
        <f>+C48*$D$50</f>
        <v>0</v>
      </c>
      <c r="E48" s="188"/>
      <c r="F48" s="208"/>
      <c r="H48" s="199"/>
      <c r="I48" s="78"/>
    </row>
    <row r="49" spans="1:9" x14ac:dyDescent="0.25">
      <c r="A49" s="602" t="str">
        <f>A42</f>
        <v>Kostengruppe 500</v>
      </c>
      <c r="B49" s="3" t="str">
        <f>B34</f>
        <v>Außenanlagen</v>
      </c>
      <c r="C49" s="250">
        <f>C42</f>
        <v>0</v>
      </c>
      <c r="D49" s="255">
        <f>+C49*$D$50</f>
        <v>0</v>
      </c>
      <c r="E49" s="188"/>
      <c r="F49" s="208"/>
      <c r="H49" s="199"/>
      <c r="I49" s="78"/>
    </row>
    <row r="50" spans="1:9" ht="15.75" x14ac:dyDescent="0.25">
      <c r="A50" s="690" t="s">
        <v>63</v>
      </c>
      <c r="B50" s="691"/>
      <c r="C50" s="256">
        <f>SUM(C46:C49)-C47</f>
        <v>0</v>
      </c>
      <c r="D50" s="254">
        <f>+B83</f>
        <v>0</v>
      </c>
      <c r="E50" s="114"/>
      <c r="F50" s="209"/>
      <c r="H50" s="210"/>
      <c r="I50" s="78"/>
    </row>
    <row r="51" spans="1:9" x14ac:dyDescent="0.25">
      <c r="A51" s="921"/>
      <c r="B51" s="114"/>
      <c r="C51" s="188"/>
      <c r="D51" s="214"/>
      <c r="E51" s="114"/>
      <c r="F51" s="191"/>
    </row>
    <row r="52" spans="1:9" ht="15.75" x14ac:dyDescent="0.25">
      <c r="A52" s="695" t="s">
        <v>64</v>
      </c>
      <c r="B52" s="691"/>
      <c r="C52" s="692"/>
      <c r="D52" s="696"/>
      <c r="E52" s="114"/>
      <c r="F52" s="191"/>
    </row>
    <row r="53" spans="1:9" x14ac:dyDescent="0.25">
      <c r="A53" s="31" t="str">
        <f t="shared" ref="A53:A56" si="1">A46</f>
        <v>Kostengruppe 200</v>
      </c>
      <c r="B53" s="3" t="str">
        <f>B31</f>
        <v>Herrichten und Erschließen</v>
      </c>
      <c r="C53" s="250">
        <f>+IF(Stammdaten!B8=0,2%,IF(Stammdaten!B8&lt;2005,2.45%,IF(AND(Stammdaten!B8&gt;=2005,D20="x"),3.33%,2%)))</f>
        <v>0.02</v>
      </c>
      <c r="D53" s="251">
        <f>(D31-D46)*C53</f>
        <v>0</v>
      </c>
      <c r="E53" s="370" t="str">
        <f>+IF(Stammdaten!B8="","Bitte Stammdaten Feld B8 ausfüllen!","")</f>
        <v>Bitte Stammdaten Feld B8 ausfüllen!</v>
      </c>
      <c r="F53" s="191"/>
    </row>
    <row r="54" spans="1:9" x14ac:dyDescent="0.25">
      <c r="A54" s="31" t="str">
        <f t="shared" si="1"/>
        <v>Kostengruppe 300</v>
      </c>
      <c r="B54" s="3" t="str">
        <f t="shared" ref="B54:B56" si="2">B32</f>
        <v>Bauwerk - Baukonstruktion</v>
      </c>
      <c r="C54" s="250">
        <f>+IF(Stammdaten!B8=0,2%,IF(Stammdaten!B8&lt;2005,2.45%,IF(AND(Stammdaten!B8&gt;=2005,D20="x"),3.33%,2%)))</f>
        <v>0.02</v>
      </c>
      <c r="D54" s="251">
        <f>(D40-D47)*C54</f>
        <v>0</v>
      </c>
      <c r="E54" s="370" t="str">
        <f>+IF(Stammdaten!B8="","Bitte Stammdaten Feld B8 ausfüllen!","")</f>
        <v>Bitte Stammdaten Feld B8 ausfüllen!</v>
      </c>
      <c r="F54" s="191"/>
    </row>
    <row r="55" spans="1:9" x14ac:dyDescent="0.25">
      <c r="A55" s="602" t="str">
        <f t="shared" si="1"/>
        <v>Kostengruppe 400</v>
      </c>
      <c r="B55" s="3" t="str">
        <f t="shared" si="2"/>
        <v>Bauwerk - Technische Anlagen</v>
      </c>
      <c r="C55" s="250">
        <f>+IF(Stammdaten!B8=0,6.67%,IF(Stammdaten!B8&lt;2005,2.45%,IF(AND(Stammdaten!B8&gt;=2005,D20="x"),3.33%,6.67%)))</f>
        <v>6.6699999999999995E-2</v>
      </c>
      <c r="D55" s="251">
        <f>(D41-D48)*C55</f>
        <v>0</v>
      </c>
      <c r="E55" s="370" t="str">
        <f>+IF(Stammdaten!B8="","Bitte Stammdaten Feld B8 ausfüllen!","")</f>
        <v>Bitte Stammdaten Feld B8 ausfüllen!</v>
      </c>
      <c r="F55" s="211"/>
      <c r="G55" s="135"/>
      <c r="H55" s="212"/>
    </row>
    <row r="56" spans="1:9" x14ac:dyDescent="0.25">
      <c r="A56" s="602" t="str">
        <f t="shared" si="1"/>
        <v>Kostengruppe 500</v>
      </c>
      <c r="B56" s="3" t="str">
        <f t="shared" si="2"/>
        <v>Außenanlagen</v>
      </c>
      <c r="C56" s="250">
        <f>+IF(Stammdaten!B8=0,4%,IF(Stammdaten!B8&lt;2005,2.45%,IF(AND(Stammdaten!B8&gt;=2005,D20="x"),3.33%,4%)))</f>
        <v>0.04</v>
      </c>
      <c r="D56" s="251">
        <f>(D42-D49)*C56</f>
        <v>0</v>
      </c>
      <c r="E56" s="370" t="str">
        <f>+IF(Stammdaten!B8="","Bitte Stammdaten Feld B8 ausfüllen!","")</f>
        <v>Bitte Stammdaten Feld B8 ausfüllen!</v>
      </c>
      <c r="F56" s="213"/>
      <c r="H56" s="212"/>
    </row>
    <row r="57" spans="1:9" x14ac:dyDescent="0.25">
      <c r="A57" s="688" t="s">
        <v>65</v>
      </c>
      <c r="B57" s="498"/>
      <c r="C57" s="692"/>
      <c r="D57" s="254">
        <f>SUM(D53:D56)</f>
        <v>0</v>
      </c>
      <c r="E57" s="114"/>
      <c r="F57" s="191"/>
    </row>
    <row r="58" spans="1:9" ht="15.75" x14ac:dyDescent="0.25">
      <c r="A58" s="690" t="s">
        <v>66</v>
      </c>
      <c r="B58" s="691"/>
      <c r="C58" s="692"/>
      <c r="D58" s="254">
        <f>SUM(D53:D56)</f>
        <v>0</v>
      </c>
      <c r="E58" s="114"/>
      <c r="F58" s="191"/>
    </row>
    <row r="59" spans="1:9" x14ac:dyDescent="0.25">
      <c r="A59" s="64"/>
      <c r="B59" s="114"/>
      <c r="C59" s="188"/>
      <c r="D59" s="214"/>
      <c r="E59" s="114"/>
      <c r="F59" s="191"/>
    </row>
    <row r="60" spans="1:9" x14ac:dyDescent="0.25">
      <c r="A60" s="699" t="s">
        <v>67</v>
      </c>
      <c r="B60" s="74"/>
      <c r="C60" s="188"/>
      <c r="D60" s="214"/>
      <c r="E60" s="114"/>
      <c r="F60" s="191"/>
    </row>
    <row r="61" spans="1:9" x14ac:dyDescent="0.25">
      <c r="A61" s="64"/>
      <c r="B61" s="697" t="s">
        <v>292</v>
      </c>
      <c r="C61" s="273"/>
      <c r="D61" s="251">
        <f>SUM(D53:D56)</f>
        <v>0</v>
      </c>
      <c r="E61" s="114"/>
      <c r="F61" s="191"/>
    </row>
    <row r="62" spans="1:9" x14ac:dyDescent="0.25">
      <c r="A62" s="64"/>
      <c r="B62" s="697" t="s">
        <v>68</v>
      </c>
      <c r="C62" s="273"/>
      <c r="D62" s="251">
        <f>SUM(D31:D35)-SUM(D46:D49)</f>
        <v>0</v>
      </c>
      <c r="E62" s="114"/>
      <c r="F62" s="191"/>
    </row>
    <row r="63" spans="1:9" x14ac:dyDescent="0.25">
      <c r="A63" s="64"/>
      <c r="B63" s="104" t="s">
        <v>69</v>
      </c>
      <c r="C63" s="698"/>
      <c r="D63" s="259" t="e">
        <f>D61/D62</f>
        <v>#DIV/0!</v>
      </c>
      <c r="E63" s="114"/>
      <c r="F63" s="191"/>
    </row>
    <row r="64" spans="1:9" x14ac:dyDescent="0.25">
      <c r="A64" s="64"/>
      <c r="B64" s="114"/>
      <c r="C64" s="188"/>
      <c r="D64" s="215"/>
      <c r="E64" s="114"/>
      <c r="F64" s="191"/>
    </row>
    <row r="65" spans="1:6" ht="15.75" x14ac:dyDescent="0.25">
      <c r="A65" s="695" t="s">
        <v>71</v>
      </c>
      <c r="B65" s="691"/>
      <c r="C65" s="692"/>
      <c r="D65" s="254"/>
      <c r="E65" s="114"/>
      <c r="F65" s="525" t="s">
        <v>299</v>
      </c>
    </row>
    <row r="66" spans="1:6" x14ac:dyDescent="0.25">
      <c r="A66" s="273"/>
      <c r="B66" s="484" t="s">
        <v>378</v>
      </c>
      <c r="C66" s="601"/>
      <c r="D66" s="251">
        <f>IF(F68&gt;0,F68,D36-D30)</f>
        <v>0</v>
      </c>
      <c r="E66" s="114"/>
      <c r="F66" s="786" t="s">
        <v>298</v>
      </c>
    </row>
    <row r="67" spans="1:6" x14ac:dyDescent="0.25">
      <c r="A67" s="791" t="s">
        <v>70</v>
      </c>
      <c r="B67" s="484" t="s">
        <v>73</v>
      </c>
      <c r="C67" s="792"/>
      <c r="D67" s="325">
        <f>IF(F73&gt;0,F73,0.8%)</f>
        <v>8.0000000000000002E-3</v>
      </c>
      <c r="E67" s="114"/>
      <c r="F67" s="786" t="s">
        <v>296</v>
      </c>
    </row>
    <row r="68" spans="1:6" ht="15.75" x14ac:dyDescent="0.25">
      <c r="A68" s="690" t="s">
        <v>74</v>
      </c>
      <c r="B68" s="691"/>
      <c r="C68" s="692"/>
      <c r="D68" s="254">
        <f>D66*D67</f>
        <v>0</v>
      </c>
      <c r="E68" s="114"/>
      <c r="F68" s="218"/>
    </row>
    <row r="69" spans="1:6" x14ac:dyDescent="0.25">
      <c r="A69" s="64"/>
      <c r="B69" s="114"/>
      <c r="C69" s="188"/>
      <c r="D69" s="215"/>
      <c r="E69" s="114"/>
      <c r="F69" s="191"/>
    </row>
    <row r="70" spans="1:6" ht="15.75" x14ac:dyDescent="0.25">
      <c r="A70" s="695" t="s">
        <v>302</v>
      </c>
      <c r="B70" s="691"/>
      <c r="C70" s="692"/>
      <c r="D70" s="254"/>
      <c r="E70" s="114"/>
      <c r="F70" s="525" t="s">
        <v>299</v>
      </c>
    </row>
    <row r="71" spans="1:6" x14ac:dyDescent="0.25">
      <c r="A71" s="233" t="s">
        <v>75</v>
      </c>
      <c r="B71" s="216"/>
      <c r="C71" s="217"/>
      <c r="D71" s="218"/>
      <c r="E71" s="114"/>
      <c r="F71" s="786" t="s">
        <v>295</v>
      </c>
    </row>
    <row r="72" spans="1:6" x14ac:dyDescent="0.25">
      <c r="A72" s="233" t="s">
        <v>76</v>
      </c>
      <c r="B72" s="216"/>
      <c r="C72" s="217"/>
      <c r="D72" s="218"/>
      <c r="E72" s="114"/>
      <c r="F72" s="786" t="s">
        <v>297</v>
      </c>
    </row>
    <row r="73" spans="1:6" x14ac:dyDescent="0.25">
      <c r="A73" s="233" t="s">
        <v>77</v>
      </c>
      <c r="B73" s="216"/>
      <c r="C73" s="219"/>
      <c r="D73" s="218"/>
      <c r="E73" s="114"/>
      <c r="F73" s="785"/>
    </row>
    <row r="74" spans="1:6" ht="15.75" x14ac:dyDescent="0.25">
      <c r="A74" s="695" t="s">
        <v>79</v>
      </c>
      <c r="B74" s="691"/>
      <c r="C74" s="692"/>
      <c r="D74" s="254">
        <f>+SUM(D71:D73)</f>
        <v>0</v>
      </c>
      <c r="E74" s="114"/>
      <c r="F74" s="191"/>
    </row>
    <row r="75" spans="1:6" x14ac:dyDescent="0.25">
      <c r="A75" s="64"/>
      <c r="B75" s="114"/>
      <c r="C75" s="188"/>
      <c r="D75" s="215"/>
      <c r="E75" s="114"/>
      <c r="F75" s="191"/>
    </row>
    <row r="76" spans="1:6" x14ac:dyDescent="0.25">
      <c r="A76" s="64"/>
      <c r="B76" s="114"/>
      <c r="C76" s="188"/>
      <c r="D76" s="215"/>
      <c r="E76" s="114"/>
      <c r="F76" s="191"/>
    </row>
    <row r="77" spans="1:6" ht="15.75" x14ac:dyDescent="0.25">
      <c r="A77" s="695" t="s">
        <v>80</v>
      </c>
      <c r="B77" s="691"/>
      <c r="C77" s="692"/>
      <c r="D77" s="704"/>
      <c r="E77" s="114"/>
      <c r="F77" s="191"/>
    </row>
    <row r="78" spans="1:6" x14ac:dyDescent="0.25">
      <c r="A78" s="480" t="s">
        <v>63</v>
      </c>
      <c r="B78" s="32" t="s">
        <v>158</v>
      </c>
      <c r="C78" s="222"/>
      <c r="D78" s="223"/>
      <c r="E78" s="114"/>
      <c r="F78" s="224"/>
    </row>
    <row r="79" spans="1:6" x14ac:dyDescent="0.25">
      <c r="A79" s="225" t="s">
        <v>75</v>
      </c>
      <c r="B79" s="226"/>
      <c r="C79" s="227"/>
      <c r="D79" s="228"/>
      <c r="E79" s="114"/>
      <c r="F79" s="229"/>
    </row>
    <row r="80" spans="1:6" x14ac:dyDescent="0.25">
      <c r="A80" s="225" t="s">
        <v>76</v>
      </c>
      <c r="B80" s="226"/>
      <c r="C80" s="227"/>
      <c r="D80" s="228"/>
      <c r="E80" s="114"/>
      <c r="F80" s="191"/>
    </row>
    <row r="81" spans="1:7" x14ac:dyDescent="0.25">
      <c r="A81" s="225" t="s">
        <v>77</v>
      </c>
      <c r="B81" s="226"/>
      <c r="C81" s="227"/>
      <c r="D81" s="228"/>
      <c r="E81" s="114"/>
      <c r="F81" s="191"/>
    </row>
    <row r="82" spans="1:7" x14ac:dyDescent="0.25">
      <c r="A82" s="225" t="s">
        <v>89</v>
      </c>
      <c r="B82" s="226"/>
      <c r="C82" s="230"/>
      <c r="D82" s="228"/>
      <c r="E82" s="114"/>
      <c r="F82" s="191"/>
    </row>
    <row r="83" spans="1:7" x14ac:dyDescent="0.25">
      <c r="A83" s="497" t="s">
        <v>63</v>
      </c>
      <c r="B83" s="262">
        <f>SUM(B79:B82)</f>
        <v>0</v>
      </c>
      <c r="C83" s="227"/>
      <c r="D83" s="228"/>
      <c r="E83" s="114"/>
      <c r="F83" s="191"/>
    </row>
    <row r="84" spans="1:7" x14ac:dyDescent="0.25">
      <c r="A84" s="64"/>
      <c r="B84" s="231"/>
      <c r="C84" s="188"/>
      <c r="D84" s="232"/>
      <c r="E84" s="114"/>
      <c r="F84" s="191"/>
    </row>
    <row r="85" spans="1:7" x14ac:dyDescent="0.25">
      <c r="A85" s="480" t="s">
        <v>81</v>
      </c>
      <c r="B85" s="32" t="s">
        <v>158</v>
      </c>
      <c r="C85" s="32" t="s">
        <v>152</v>
      </c>
      <c r="D85" s="223"/>
      <c r="E85" s="114"/>
      <c r="F85" s="191"/>
    </row>
    <row r="86" spans="1:7" x14ac:dyDescent="0.25">
      <c r="A86" s="233" t="s">
        <v>87</v>
      </c>
      <c r="B86" s="196"/>
      <c r="C86" s="793"/>
      <c r="D86" s="266">
        <f>B86*C86</f>
        <v>0</v>
      </c>
      <c r="E86" s="114"/>
      <c r="F86" s="191"/>
    </row>
    <row r="87" spans="1:7" x14ac:dyDescent="0.25">
      <c r="A87" s="233" t="s">
        <v>88</v>
      </c>
      <c r="B87" s="196"/>
      <c r="C87" s="793"/>
      <c r="D87" s="266">
        <f>B87*C87</f>
        <v>0</v>
      </c>
      <c r="E87" s="114"/>
      <c r="F87" s="191"/>
    </row>
    <row r="88" spans="1:7" x14ac:dyDescent="0.25">
      <c r="A88" s="233" t="s">
        <v>148</v>
      </c>
      <c r="B88" s="226"/>
      <c r="C88" s="793"/>
      <c r="D88" s="266">
        <f>B88*C88</f>
        <v>0</v>
      </c>
      <c r="E88" s="114"/>
      <c r="F88" s="191"/>
    </row>
    <row r="89" spans="1:7" x14ac:dyDescent="0.25">
      <c r="A89" s="706" t="s">
        <v>52</v>
      </c>
      <c r="B89" s="263">
        <f>+D30</f>
        <v>0</v>
      </c>
      <c r="C89" s="793"/>
      <c r="D89" s="266">
        <f>B89*C89</f>
        <v>0</v>
      </c>
      <c r="E89" s="114"/>
      <c r="F89" s="191"/>
    </row>
    <row r="90" spans="1:7" x14ac:dyDescent="0.25">
      <c r="A90" s="497" t="s">
        <v>82</v>
      </c>
      <c r="B90" s="262">
        <f>SUM(B86:B89)</f>
        <v>0</v>
      </c>
      <c r="C90" s="794"/>
      <c r="D90" s="267">
        <f>SUM(D86:D89)</f>
        <v>0</v>
      </c>
      <c r="E90" s="114"/>
      <c r="F90" s="191"/>
    </row>
    <row r="91" spans="1:7" x14ac:dyDescent="0.25">
      <c r="A91" s="64"/>
      <c r="B91" s="114"/>
      <c r="C91" s="114"/>
      <c r="D91" s="214"/>
      <c r="E91" s="114"/>
      <c r="F91" s="191"/>
    </row>
    <row r="92" spans="1:7" x14ac:dyDescent="0.25">
      <c r="A92" s="480" t="s">
        <v>83</v>
      </c>
      <c r="B92" s="32" t="s">
        <v>158</v>
      </c>
      <c r="C92" s="32" t="s">
        <v>152</v>
      </c>
      <c r="D92" s="235"/>
      <c r="E92" s="114"/>
      <c r="F92" s="191"/>
    </row>
    <row r="93" spans="1:7" x14ac:dyDescent="0.25">
      <c r="A93" s="707" t="s">
        <v>83</v>
      </c>
      <c r="B93" s="268">
        <f>+D36-B83-B90-B94-B95-B96</f>
        <v>0</v>
      </c>
      <c r="C93" s="793">
        <v>1.4999999999999999E-2</v>
      </c>
      <c r="D93" s="269">
        <f>B93*C93</f>
        <v>0</v>
      </c>
      <c r="E93" s="114"/>
      <c r="F93" s="191"/>
      <c r="G93" s="135"/>
    </row>
    <row r="94" spans="1:7" x14ac:dyDescent="0.25">
      <c r="A94" s="225" t="s">
        <v>86</v>
      </c>
      <c r="B94" s="226"/>
      <c r="C94" s="330">
        <v>0</v>
      </c>
      <c r="D94" s="269">
        <f>B94*C94</f>
        <v>0</v>
      </c>
      <c r="E94" s="114"/>
      <c r="F94" s="191"/>
    </row>
    <row r="95" spans="1:7" x14ac:dyDescent="0.25">
      <c r="A95" s="225" t="s">
        <v>77</v>
      </c>
      <c r="B95" s="226"/>
      <c r="C95" s="793">
        <f>+C93</f>
        <v>1.4999999999999999E-2</v>
      </c>
      <c r="D95" s="269">
        <f>B95*C95</f>
        <v>0</v>
      </c>
      <c r="E95" s="114"/>
      <c r="F95" s="191"/>
      <c r="G95" s="135"/>
    </row>
    <row r="96" spans="1:7" x14ac:dyDescent="0.25">
      <c r="A96" s="233" t="s">
        <v>89</v>
      </c>
      <c r="B96" s="226"/>
      <c r="C96" s="793">
        <f>+C93</f>
        <v>1.4999999999999999E-2</v>
      </c>
      <c r="D96" s="269">
        <f>B96*C96</f>
        <v>0</v>
      </c>
      <c r="E96" s="114"/>
      <c r="F96" s="191"/>
      <c r="G96" s="135"/>
    </row>
    <row r="97" spans="1:9" x14ac:dyDescent="0.25">
      <c r="A97" s="497" t="s">
        <v>84</v>
      </c>
      <c r="B97" s="262">
        <f>SUM(B93:B96)</f>
        <v>0</v>
      </c>
      <c r="C97" s="708"/>
      <c r="D97" s="270">
        <f>SUM(D93:D96)</f>
        <v>0</v>
      </c>
      <c r="E97" s="114"/>
      <c r="F97" s="191"/>
    </row>
    <row r="98" spans="1:9" x14ac:dyDescent="0.25">
      <c r="A98" s="236"/>
      <c r="B98" s="237"/>
      <c r="C98" s="238"/>
      <c r="D98" s="239"/>
      <c r="E98" s="114"/>
      <c r="F98" s="191"/>
      <c r="H98" s="240"/>
    </row>
    <row r="99" spans="1:9" ht="15.75" x14ac:dyDescent="0.25">
      <c r="A99" s="690" t="s">
        <v>85</v>
      </c>
      <c r="B99" s="271">
        <f>+B83+B90+B97</f>
        <v>0</v>
      </c>
      <c r="C99" s="498"/>
      <c r="D99" s="247">
        <f>D97+D90</f>
        <v>0</v>
      </c>
      <c r="E99" s="241"/>
      <c r="F99" s="191"/>
      <c r="H99" s="108" t="str">
        <f>IF(D6="x","Kontrolle","")</f>
        <v/>
      </c>
      <c r="I99" s="160" t="str">
        <f>IF(D6="x",B99-D36,"")</f>
        <v/>
      </c>
    </row>
    <row r="100" spans="1:9" x14ac:dyDescent="0.25">
      <c r="A100" s="64"/>
      <c r="B100" s="114"/>
      <c r="C100" s="188"/>
      <c r="D100" s="215"/>
      <c r="E100" s="114"/>
      <c r="F100" s="191"/>
    </row>
    <row r="101" spans="1:9" ht="15.75" x14ac:dyDescent="0.25">
      <c r="A101" s="690" t="s">
        <v>10</v>
      </c>
      <c r="B101" s="271"/>
      <c r="C101" s="692"/>
      <c r="D101" s="704"/>
      <c r="E101" s="114"/>
      <c r="F101" s="191"/>
    </row>
    <row r="102" spans="1:9" x14ac:dyDescent="0.25">
      <c r="A102" s="483" t="s">
        <v>293</v>
      </c>
      <c r="B102" s="593"/>
      <c r="C102" s="593"/>
      <c r="D102" s="252">
        <f>+D58</f>
        <v>0</v>
      </c>
      <c r="E102" s="114"/>
      <c r="F102" s="191"/>
    </row>
    <row r="103" spans="1:9" x14ac:dyDescent="0.25">
      <c r="A103" s="484" t="s">
        <v>13</v>
      </c>
      <c r="B103" s="282"/>
      <c r="C103" s="282"/>
      <c r="D103" s="251">
        <f>+D68</f>
        <v>0</v>
      </c>
      <c r="E103" s="114"/>
      <c r="F103" s="191"/>
    </row>
    <row r="104" spans="1:9" x14ac:dyDescent="0.25">
      <c r="A104" s="484" t="s">
        <v>8</v>
      </c>
      <c r="B104" s="282"/>
      <c r="C104" s="282"/>
      <c r="D104" s="251">
        <f>+D74</f>
        <v>0</v>
      </c>
      <c r="E104" s="114"/>
      <c r="F104" s="191"/>
    </row>
    <row r="105" spans="1:9" x14ac:dyDescent="0.25">
      <c r="A105" s="484" t="s">
        <v>14</v>
      </c>
      <c r="B105" s="282"/>
      <c r="C105" s="282"/>
      <c r="D105" s="251">
        <f>+D99</f>
        <v>0</v>
      </c>
      <c r="E105" s="114"/>
      <c r="F105" s="191"/>
    </row>
    <row r="106" spans="1:9" x14ac:dyDescent="0.25">
      <c r="A106" s="688" t="s">
        <v>9</v>
      </c>
      <c r="B106" s="667"/>
      <c r="C106" s="667"/>
      <c r="D106" s="272">
        <f>SUM(D102:D105)</f>
        <v>0</v>
      </c>
      <c r="E106" s="114"/>
      <c r="F106" s="191"/>
    </row>
    <row r="107" spans="1:9" x14ac:dyDescent="0.25">
      <c r="A107" s="64"/>
      <c r="B107" s="114"/>
      <c r="C107" s="188"/>
      <c r="D107" s="232"/>
      <c r="E107" s="114"/>
      <c r="F107" s="191"/>
    </row>
    <row r="108" spans="1:9" x14ac:dyDescent="0.25">
      <c r="A108" s="273" t="s">
        <v>15</v>
      </c>
      <c r="B108" s="273">
        <v>365</v>
      </c>
      <c r="C108" s="188"/>
      <c r="D108" s="232"/>
      <c r="E108" s="114"/>
      <c r="F108" s="191"/>
    </row>
    <row r="109" spans="1:9" x14ac:dyDescent="0.25">
      <c r="A109" s="273" t="s">
        <v>16</v>
      </c>
      <c r="B109" s="274">
        <f>+Stammdaten!B7</f>
        <v>0</v>
      </c>
      <c r="C109" s="243"/>
      <c r="D109" s="232"/>
      <c r="E109" s="114"/>
      <c r="F109" s="191"/>
    </row>
    <row r="110" spans="1:9" x14ac:dyDescent="0.25">
      <c r="A110" s="596" t="s">
        <v>17</v>
      </c>
      <c r="B110" s="795">
        <v>0.96499999999999997</v>
      </c>
      <c r="C110" s="188"/>
      <c r="D110" s="232"/>
      <c r="E110" s="114"/>
      <c r="F110" s="191"/>
    </row>
    <row r="111" spans="1:9" ht="30.75" thickBot="1" x14ac:dyDescent="0.3">
      <c r="A111" s="709" t="s">
        <v>18</v>
      </c>
      <c r="B111" s="275">
        <f>B110*B109*B108</f>
        <v>0</v>
      </c>
      <c r="C111" s="243"/>
      <c r="D111" s="232"/>
      <c r="E111" s="710" t="s">
        <v>20</v>
      </c>
      <c r="F111" s="710" t="s">
        <v>19</v>
      </c>
    </row>
    <row r="112" spans="1:9" ht="15.75" customHeight="1" thickTop="1" thickBot="1" x14ac:dyDescent="0.3">
      <c r="A112" s="64"/>
      <c r="B112" s="114"/>
      <c r="C112" s="188"/>
      <c r="D112" s="232"/>
      <c r="E112" s="711" t="s">
        <v>94</v>
      </c>
      <c r="F112" s="711" t="s">
        <v>94</v>
      </c>
    </row>
    <row r="113" spans="1:15" ht="16.5" thickBot="1" x14ac:dyDescent="0.3">
      <c r="A113" s="690" t="s">
        <v>351</v>
      </c>
      <c r="B113" s="271"/>
      <c r="C113" s="692"/>
      <c r="D113" s="935" t="s">
        <v>352</v>
      </c>
      <c r="E113" s="919" t="e">
        <f>+IF(D16="x",'A Flächen'!E169,'A Flächen'!E174)</f>
        <v>#DIV/0!</v>
      </c>
      <c r="F113" s="919" t="e">
        <f>+IF(D16="x",'A Flächen'!E170,'A Flächen'!E175)</f>
        <v>#DIV/0!</v>
      </c>
    </row>
    <row r="114" spans="1:15" x14ac:dyDescent="0.25">
      <c r="A114" s="483" t="s">
        <v>293</v>
      </c>
      <c r="B114" s="521"/>
      <c r="C114" s="936" t="str">
        <f>+IF(D10="x","noch ohne anteiligen Alt-IK","")</f>
        <v/>
      </c>
      <c r="D114" s="937" t="e">
        <f>D102/$B$111</f>
        <v>#DIV/0!</v>
      </c>
      <c r="E114" s="937" t="e">
        <f>+D114*$E$113</f>
        <v>#DIV/0!</v>
      </c>
      <c r="F114" s="937" t="e">
        <f>+D114*$F$113</f>
        <v>#DIV/0!</v>
      </c>
      <c r="H114" s="381"/>
    </row>
    <row r="115" spans="1:15" x14ac:dyDescent="0.25">
      <c r="A115" s="484" t="s">
        <v>13</v>
      </c>
      <c r="B115" s="613"/>
      <c r="C115" s="938" t="str">
        <f>+IF(D10="x","noch ohne anteiligen Alt-IK","")</f>
        <v/>
      </c>
      <c r="D115" s="937" t="e">
        <f>D103/$B$111</f>
        <v>#DIV/0!</v>
      </c>
      <c r="E115" s="937" t="e">
        <f>+D115*$E$113</f>
        <v>#DIV/0!</v>
      </c>
      <c r="F115" s="937" t="e">
        <f>+D115*$F$113</f>
        <v>#DIV/0!</v>
      </c>
      <c r="H115" s="381"/>
    </row>
    <row r="116" spans="1:15" x14ac:dyDescent="0.25">
      <c r="A116" s="484" t="s">
        <v>8</v>
      </c>
      <c r="B116" s="613"/>
      <c r="C116" s="938" t="str">
        <f>+IF(D10="x","noch ohne anteiligen Alt-IK","")</f>
        <v/>
      </c>
      <c r="D116" s="937" t="e">
        <f>D104/$B$111</f>
        <v>#DIV/0!</v>
      </c>
      <c r="E116" s="937" t="e">
        <f>+D116*$E$113</f>
        <v>#DIV/0!</v>
      </c>
      <c r="F116" s="937" t="e">
        <f>+D116*$F$113</f>
        <v>#DIV/0!</v>
      </c>
      <c r="H116" s="381"/>
    </row>
    <row r="117" spans="1:15" ht="15.75" thickBot="1" x14ac:dyDescent="0.3">
      <c r="A117" s="484" t="s">
        <v>14</v>
      </c>
      <c r="B117" s="613"/>
      <c r="C117" s="938" t="str">
        <f>+IF(D10="x","noch ohne anteiligen Alt-IK","")</f>
        <v/>
      </c>
      <c r="D117" s="937" t="e">
        <f>D105/$B$111</f>
        <v>#DIV/0!</v>
      </c>
      <c r="E117" s="937" t="e">
        <f>+D117*$E$113</f>
        <v>#DIV/0!</v>
      </c>
      <c r="F117" s="937" t="e">
        <f>+D117*$F$113</f>
        <v>#DIV/0!</v>
      </c>
      <c r="H117" s="381"/>
    </row>
    <row r="118" spans="1:15" ht="16.5" thickBot="1" x14ac:dyDescent="0.3">
      <c r="A118" s="939" t="str">
        <f>+IF(D8="x","Aufteilung Alt-IK:",IF(D10="x","Aufteilung anteiliger Alt-IK bei Sanierung:",""))</f>
        <v/>
      </c>
      <c r="B118" s="38"/>
      <c r="C118" s="940"/>
      <c r="D118" s="935" t="s">
        <v>353</v>
      </c>
      <c r="E118" s="919" t="e">
        <f>+'A Flächen'!E174</f>
        <v>#DIV/0!</v>
      </c>
      <c r="F118" s="919" t="e">
        <f>+'A Flächen'!E175</f>
        <v>#DIV/0!</v>
      </c>
      <c r="H118" s="381"/>
    </row>
    <row r="119" spans="1:15" ht="15.75" thickBot="1" x14ac:dyDescent="0.3">
      <c r="A119" s="483" t="str">
        <f>+IF(D8="x","Alt-IK pro Tag",IF(D10="x","Anteiliger Alt-IK bei Sanierung pro Tag",""))</f>
        <v/>
      </c>
      <c r="B119" s="521"/>
      <c r="C119" s="936"/>
      <c r="D119" s="941">
        <f>IF(D8="x",F8,IF(D10="x",F10,0))</f>
        <v>0</v>
      </c>
      <c r="E119" s="937" t="e">
        <f>+D119*$E$118</f>
        <v>#DIV/0!</v>
      </c>
      <c r="F119" s="937" t="e">
        <f>+D119*$F$118</f>
        <v>#DIV/0!</v>
      </c>
      <c r="H119" s="381"/>
    </row>
    <row r="120" spans="1:15" ht="19.5" thickBot="1" x14ac:dyDescent="0.35">
      <c r="A120" s="690" t="str">
        <f>+IF(D8="x","Summe Gebäude Kaltmiete aus Alt-IK",IF(D10="x","Summe Gebäude Kaltmiete inkl. anteiligem Alt-IK","Summe Gebäude Kaltmiete"))</f>
        <v>Summe Gebäude Kaltmiete</v>
      </c>
      <c r="B120" s="716"/>
      <c r="C120" s="717" t="s">
        <v>49</v>
      </c>
      <c r="D120" s="277" t="e">
        <f>D114+D115+D116+D117+D119</f>
        <v>#DIV/0!</v>
      </c>
      <c r="E120" s="277" t="e">
        <f>E114+E115++E116+E117+E119</f>
        <v>#DIV/0!</v>
      </c>
      <c r="F120" s="277" t="e">
        <f>+F114+F115+F116+F117+F119</f>
        <v>#DIV/0!</v>
      </c>
      <c r="H120" s="381"/>
      <c r="O120" s="381"/>
    </row>
    <row r="121" spans="1:15" ht="15.75" x14ac:dyDescent="0.25">
      <c r="A121" s="690" t="s">
        <v>222</v>
      </c>
      <c r="B121" s="716"/>
      <c r="C121" s="717" t="s">
        <v>91</v>
      </c>
      <c r="D121" s="278" t="e">
        <f>+D120*365</f>
        <v>#DIV/0!</v>
      </c>
      <c r="E121" s="278" t="e">
        <f>+E120*365</f>
        <v>#DIV/0!</v>
      </c>
      <c r="F121" s="278" t="e">
        <f>+F120*365</f>
        <v>#DIV/0!</v>
      </c>
      <c r="H121" s="381"/>
      <c r="I121" s="381"/>
      <c r="O121" s="381"/>
    </row>
    <row r="122" spans="1:15" ht="18.75" x14ac:dyDescent="0.3">
      <c r="A122" s="718" t="s">
        <v>222</v>
      </c>
      <c r="B122" s="719"/>
      <c r="C122" s="666" t="s">
        <v>90</v>
      </c>
      <c r="D122" s="279" t="e">
        <f>+D121/12</f>
        <v>#DIV/0!</v>
      </c>
      <c r="E122" s="279" t="e">
        <f>+E121/12</f>
        <v>#DIV/0!</v>
      </c>
      <c r="F122" s="279" t="e">
        <f>+F121/12</f>
        <v>#DIV/0!</v>
      </c>
      <c r="H122" s="381"/>
      <c r="M122" s="917"/>
      <c r="N122" s="381"/>
    </row>
    <row r="123" spans="1:15" x14ac:dyDescent="0.25">
      <c r="A123" s="64"/>
      <c r="B123" s="114"/>
      <c r="C123" s="188"/>
      <c r="D123" s="188"/>
      <c r="E123" s="188"/>
      <c r="F123" s="232"/>
      <c r="M123" s="917"/>
      <c r="N123" s="918"/>
    </row>
    <row r="124" spans="1:15" x14ac:dyDescent="0.25">
      <c r="A124" s="64"/>
      <c r="B124" s="114"/>
      <c r="C124" s="188"/>
      <c r="D124" s="188"/>
      <c r="E124" s="188"/>
      <c r="F124" s="232"/>
    </row>
    <row r="125" spans="1:15" ht="21" x14ac:dyDescent="0.35">
      <c r="A125" s="543" t="s">
        <v>111</v>
      </c>
      <c r="B125" s="489"/>
      <c r="C125" s="720"/>
      <c r="D125" s="922" t="str">
        <f>+IF(D23="x","kein Ansatz bei solitärer Kurzzeitpflege","")</f>
        <v/>
      </c>
      <c r="E125" s="720"/>
      <c r="F125" s="721"/>
    </row>
    <row r="126" spans="1:15" x14ac:dyDescent="0.25">
      <c r="A126" s="722" t="s">
        <v>304</v>
      </c>
      <c r="B126" s="452">
        <f>IF(D23="x",0,'Anlage Inflationsraten'!C20)</f>
        <v>354.6372240370028</v>
      </c>
      <c r="C126" s="723" t="s">
        <v>112</v>
      </c>
      <c r="D126" s="453">
        <f>+B126/12</f>
        <v>29.553102003083566</v>
      </c>
      <c r="E126" s="251">
        <f>+D126</f>
        <v>29.553102003083566</v>
      </c>
      <c r="F126" s="453"/>
    </row>
    <row r="127" spans="1:15" x14ac:dyDescent="0.25">
      <c r="A127" s="724" t="s">
        <v>272</v>
      </c>
      <c r="B127" s="458">
        <f>+IF(OR(D23="x",D25="x"),0,0.75%)</f>
        <v>7.4999999999999997E-3</v>
      </c>
      <c r="C127" s="725" t="s">
        <v>223</v>
      </c>
      <c r="D127" s="280" t="e">
        <f>+B127*E122</f>
        <v>#DIV/0!</v>
      </c>
      <c r="E127" s="280" t="e">
        <f>+D127</f>
        <v>#DIV/0!</v>
      </c>
      <c r="F127" s="280"/>
    </row>
    <row r="128" spans="1:15" ht="18.75" x14ac:dyDescent="0.3">
      <c r="A128" s="508" t="s">
        <v>116</v>
      </c>
      <c r="B128" s="509"/>
      <c r="C128" s="509"/>
      <c r="D128" s="281" t="e">
        <f>+SUM(D126:D127)</f>
        <v>#DIV/0!</v>
      </c>
      <c r="E128" s="281" t="e">
        <f>+SUM(E126:E127)</f>
        <v>#DIV/0!</v>
      </c>
      <c r="F128" s="281">
        <f>+SUM(F126:F127)</f>
        <v>0</v>
      </c>
    </row>
    <row r="129" spans="1:9" x14ac:dyDescent="0.25">
      <c r="A129" s="109"/>
      <c r="B129" s="439"/>
      <c r="C129" s="532"/>
      <c r="D129" s="532"/>
      <c r="E129" s="532"/>
      <c r="F129" s="726"/>
    </row>
    <row r="130" spans="1:9" ht="18.75" x14ac:dyDescent="0.3">
      <c r="A130" s="508" t="s">
        <v>113</v>
      </c>
      <c r="B130" s="509"/>
      <c r="C130" s="509"/>
      <c r="D130" s="281" t="e">
        <f>+D128+D122</f>
        <v>#DIV/0!</v>
      </c>
      <c r="E130" s="281" t="e">
        <f>+E128+E122</f>
        <v>#DIV/0!</v>
      </c>
      <c r="F130" s="281" t="e">
        <f>+F122+F128</f>
        <v>#DIV/0!</v>
      </c>
      <c r="H130" s="108" t="str">
        <f>IF(D6="x","Kontrolle","")</f>
        <v/>
      </c>
    </row>
    <row r="131" spans="1:9" x14ac:dyDescent="0.25">
      <c r="H131" s="108" t="str">
        <f>IF(D6="x","Kontrolle","")</f>
        <v/>
      </c>
      <c r="I131" s="128"/>
    </row>
    <row r="132" spans="1:9" x14ac:dyDescent="0.25">
      <c r="I132" s="128"/>
    </row>
  </sheetData>
  <sheetProtection algorithmName="SHA-512" hashValue="WD5jXTKMGi9jymqfe15xhACNTEl9Nqo4xotD5Ukrqt8xKs/HZVCieJ73/8GWBPtq6zo5fMlIopd3p+CVo1lIcw==" saltValue="MyJB1p/Ul6C+YhCV+zZh1A==" spinCount="100000" sheet="1" objects="1" scenarios="1"/>
  <mergeCells count="29">
    <mergeCell ref="A25:A26"/>
    <mergeCell ref="B25:C25"/>
    <mergeCell ref="D25:D26"/>
    <mergeCell ref="E25:F26"/>
    <mergeCell ref="A23:A24"/>
    <mergeCell ref="B23:C23"/>
    <mergeCell ref="E23:F24"/>
    <mergeCell ref="D23:D24"/>
    <mergeCell ref="B10:C10"/>
    <mergeCell ref="D10:D11"/>
    <mergeCell ref="F10:F11"/>
    <mergeCell ref="A6:A11"/>
    <mergeCell ref="B20:C20"/>
    <mergeCell ref="D20:D21"/>
    <mergeCell ref="A20:A21"/>
    <mergeCell ref="A19:F19"/>
    <mergeCell ref="E20:F21"/>
    <mergeCell ref="A13:F13"/>
    <mergeCell ref="A14:A17"/>
    <mergeCell ref="B14:C14"/>
    <mergeCell ref="D14:D15"/>
    <mergeCell ref="B16:C16"/>
    <mergeCell ref="D16:D17"/>
    <mergeCell ref="A5:F5"/>
    <mergeCell ref="D6:D7"/>
    <mergeCell ref="D8:D9"/>
    <mergeCell ref="F8:F9"/>
    <mergeCell ref="B6:C6"/>
    <mergeCell ref="B8:C8"/>
  </mergeCells>
  <conditionalFormatting sqref="A118:F118">
    <cfRule type="expression" dxfId="114" priority="10">
      <formula>$D$6="x"</formula>
    </cfRule>
  </conditionalFormatting>
  <conditionalFormatting sqref="A119:F119">
    <cfRule type="expression" dxfId="113" priority="9">
      <formula>$D$6="x"</formula>
    </cfRule>
  </conditionalFormatting>
  <conditionalFormatting sqref="B110">
    <cfRule type="expression" dxfId="112" priority="63">
      <formula>$D$23="x"</formula>
    </cfRule>
  </conditionalFormatting>
  <conditionalFormatting sqref="C93">
    <cfRule type="expression" dxfId="111" priority="33">
      <formula>$D$8="x"</formula>
    </cfRule>
  </conditionalFormatting>
  <conditionalFormatting sqref="C95:C96">
    <cfRule type="expression" dxfId="110" priority="32">
      <formula>$D$8="x"</formula>
    </cfRule>
  </conditionalFormatting>
  <conditionalFormatting sqref="D6:D7">
    <cfRule type="expression" dxfId="109" priority="22">
      <formula>AND($D$6="x",$D$8="x")</formula>
    </cfRule>
    <cfRule type="expression" dxfId="108" priority="68">
      <formula>$D$8="x"</formula>
    </cfRule>
  </conditionalFormatting>
  <conditionalFormatting sqref="D6:D9">
    <cfRule type="expression" dxfId="107" priority="23">
      <formula>$D$10="x"</formula>
    </cfRule>
  </conditionalFormatting>
  <conditionalFormatting sqref="D8:D9">
    <cfRule type="expression" dxfId="106" priority="67">
      <formula>$D$6="x"</formula>
    </cfRule>
    <cfRule type="expression" dxfId="105" priority="65">
      <formula>AND($D$6="x",$D$8="x")</formula>
    </cfRule>
  </conditionalFormatting>
  <conditionalFormatting sqref="D8:D11">
    <cfRule type="expression" dxfId="104" priority="20">
      <formula>AND($D$10="x",$D$8="x")</formula>
    </cfRule>
  </conditionalFormatting>
  <conditionalFormatting sqref="D10:D11">
    <cfRule type="expression" dxfId="103" priority="25">
      <formula>$D$6="x"</formula>
    </cfRule>
    <cfRule type="expression" dxfId="102" priority="24">
      <formula>$D$8="x"</formula>
    </cfRule>
    <cfRule type="expression" dxfId="101" priority="26">
      <formula>AND($D$6="x",$D$10="x")</formula>
    </cfRule>
  </conditionalFormatting>
  <conditionalFormatting sqref="D14:D15">
    <cfRule type="expression" dxfId="100" priority="19">
      <formula>AND($D$6="x",$D$16="")</formula>
    </cfRule>
    <cfRule type="expression" dxfId="99" priority="17">
      <formula>AND($D$10="x",$D$16="")</formula>
    </cfRule>
    <cfRule type="expression" dxfId="98" priority="41">
      <formula>+AND($D$8="X",$D$14="x")</formula>
    </cfRule>
    <cfRule type="expression" dxfId="97" priority="45">
      <formula>+$D$8="x"</formula>
    </cfRule>
    <cfRule type="expression" dxfId="96" priority="51">
      <formula>$D$16="x"</formula>
    </cfRule>
  </conditionalFormatting>
  <conditionalFormatting sqref="D14:D17">
    <cfRule type="expression" dxfId="95" priority="48">
      <formula>AND($D$14="x",$D$16="x")</formula>
    </cfRule>
  </conditionalFormatting>
  <conditionalFormatting sqref="D16:D17">
    <cfRule type="expression" dxfId="94" priority="16">
      <formula>AND($D$10="x",$D$14="")</formula>
    </cfRule>
    <cfRule type="expression" dxfId="93" priority="40">
      <formula>+AND($D$8="x",$D$16="x")</formula>
    </cfRule>
    <cfRule type="expression" dxfId="92" priority="44">
      <formula>AND($D$8="x",$D$14="x")</formula>
    </cfRule>
    <cfRule type="expression" dxfId="91" priority="49">
      <formula>$D$14="x"</formula>
    </cfRule>
    <cfRule type="expression" dxfId="90" priority="18">
      <formula>AND($D$6="x",$D$14="")</formula>
    </cfRule>
  </conditionalFormatting>
  <conditionalFormatting sqref="D20:D21">
    <cfRule type="expression" dxfId="89" priority="38">
      <formula>AND($D$6="x",$D$8="x")</formula>
    </cfRule>
    <cfRule type="expression" dxfId="88" priority="39">
      <formula>$D$8="x"</formula>
    </cfRule>
  </conditionalFormatting>
  <conditionalFormatting sqref="D23:D24">
    <cfRule type="expression" dxfId="87" priority="2">
      <formula>+AND(D23="x",D25="x")</formula>
    </cfRule>
    <cfRule type="expression" dxfId="86" priority="4">
      <formula>+D8="x"</formula>
    </cfRule>
  </conditionalFormatting>
  <conditionalFormatting sqref="D25:D26">
    <cfRule type="expression" dxfId="85" priority="3">
      <formula>D8="x"</formula>
    </cfRule>
    <cfRule type="expression" dxfId="84" priority="1">
      <formula>+AND(D23="x",D25="x")</formula>
    </cfRule>
  </conditionalFormatting>
  <conditionalFormatting sqref="D30:D35 A71:A73 D71:D73 A79:B82 A86:C88 C89 A94:B96 B110">
    <cfRule type="expression" dxfId="83" priority="6">
      <formula>$D$8="x"</formula>
    </cfRule>
  </conditionalFormatting>
  <conditionalFormatting sqref="D31">
    <cfRule type="expression" dxfId="82" priority="37">
      <formula>$D$20="x"</formula>
    </cfRule>
  </conditionalFormatting>
  <conditionalFormatting sqref="D33:D35">
    <cfRule type="expression" dxfId="81" priority="34">
      <formula>$D$20="x"</formula>
    </cfRule>
  </conditionalFormatting>
  <conditionalFormatting sqref="D114:D122">
    <cfRule type="expression" dxfId="80" priority="11">
      <formula>$D$16="x"</formula>
    </cfRule>
  </conditionalFormatting>
  <conditionalFormatting sqref="F8:F9">
    <cfRule type="expression" dxfId="79" priority="15">
      <formula>AND($D$10="x",$F$8&gt;0)</formula>
    </cfRule>
    <cfRule type="expression" dxfId="78" priority="61">
      <formula>AND($D$6="x",$F$8&gt;0)</formula>
    </cfRule>
    <cfRule type="expression" dxfId="77" priority="64">
      <formula>$D$8="x"</formula>
    </cfRule>
  </conditionalFormatting>
  <conditionalFormatting sqref="F8:F11">
    <cfRule type="expression" dxfId="76" priority="12">
      <formula>AND($D$8="x",$D$10="x")</formula>
    </cfRule>
  </conditionalFormatting>
  <conditionalFormatting sqref="F10:F11">
    <cfRule type="expression" dxfId="75" priority="14">
      <formula>AND($D$8="x",$F$10&gt;0)</formula>
    </cfRule>
    <cfRule type="expression" dxfId="74" priority="28">
      <formula>$D$10="x"</formula>
    </cfRule>
    <cfRule type="expression" dxfId="73" priority="27">
      <formula>AND($D$6="x",$F$10&gt;0)</formula>
    </cfRule>
  </conditionalFormatting>
  <conditionalFormatting sqref="F68">
    <cfRule type="expression" dxfId="72" priority="29">
      <formula>$D$8="x"</formula>
    </cfRule>
  </conditionalFormatting>
  <conditionalFormatting sqref="F73">
    <cfRule type="expression" dxfId="71" priority="31">
      <formula>$D$8="x"</formula>
    </cfRule>
  </conditionalFormatting>
  <conditionalFormatting sqref="I43">
    <cfRule type="expression" dxfId="70" priority="60">
      <formula>$I$43=""</formula>
    </cfRule>
    <cfRule type="expression" dxfId="69" priority="74">
      <formula>OR(I43&lt;-0.0009,I43&gt;0.0009)</formula>
    </cfRule>
  </conditionalFormatting>
  <conditionalFormatting sqref="I99">
    <cfRule type="expression" dxfId="68" priority="58">
      <formula>$I$43=""</formula>
    </cfRule>
    <cfRule type="expression" dxfId="67" priority="59">
      <formula>OR(I99&lt;-0.0009,I99&gt;0.0009)</formula>
    </cfRule>
  </conditionalFormatting>
  <conditionalFormatting sqref="I131:I132">
    <cfRule type="expression" dxfId="66" priority="46">
      <formula>$I$43=""</formula>
    </cfRule>
    <cfRule type="expression" dxfId="65" priority="47">
      <formula>OR(I131&lt;-0.0009,I131&gt;0.0009)</formula>
    </cfRule>
  </conditionalFormatting>
  <pageMargins left="0.7" right="0.7" top="0.78740157499999996" bottom="0.78740157499999996" header="0.3" footer="0.3"/>
  <pageSetup paperSize="9" scale="64" fitToWidth="0" fitToHeight="0" orientation="portrait" r:id="rId1"/>
  <rowBreaks count="2" manualBreakCount="2">
    <brk id="37" max="5" man="1"/>
    <brk id="75" max="5" man="1"/>
  </rowBreaks>
  <ignoredErrors>
    <ignoredError sqref="E15:E16 B47:B49" formula="1"/>
    <ignoredError sqref="D62" formulaRange="1"/>
    <ignoredError sqref="C95:C96"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7"/>
  <sheetViews>
    <sheetView zoomScaleNormal="100" workbookViewId="0">
      <selection activeCell="A5" sqref="A5"/>
    </sheetView>
  </sheetViews>
  <sheetFormatPr baseColWidth="10" defaultColWidth="11.42578125" defaultRowHeight="15" x14ac:dyDescent="0.25"/>
  <cols>
    <col min="1" max="1" width="22" style="113" customWidth="1"/>
    <col min="2" max="2" width="29.28515625" style="113" customWidth="1"/>
    <col min="3" max="5" width="15.42578125" style="246" customWidth="1"/>
    <col min="6" max="7" width="15.42578125" style="113" customWidth="1"/>
    <col min="8" max="8" width="15.140625" style="113" customWidth="1"/>
    <col min="9" max="9" width="4.85546875" style="60" customWidth="1"/>
    <col min="10" max="10" width="7.7109375" style="113" bestFit="1" customWidth="1"/>
    <col min="11" max="11" width="9.85546875" style="113" customWidth="1"/>
    <col min="12" max="16384" width="11.42578125" style="113"/>
  </cols>
  <sheetData>
    <row r="1" spans="1:10" ht="26.25" x14ac:dyDescent="0.4">
      <c r="A1" s="533" t="s">
        <v>287</v>
      </c>
      <c r="B1" s="534"/>
      <c r="C1" s="535"/>
      <c r="D1" s="535"/>
      <c r="E1" s="535"/>
      <c r="F1" s="534"/>
      <c r="G1" s="534"/>
      <c r="H1" s="536"/>
    </row>
    <row r="2" spans="1:10" ht="26.25" x14ac:dyDescent="0.4">
      <c r="A2" s="537" t="s">
        <v>217</v>
      </c>
      <c r="B2" s="538"/>
      <c r="C2" s="538"/>
      <c r="D2" s="538"/>
      <c r="E2" s="538"/>
      <c r="F2" s="538"/>
      <c r="G2" s="538"/>
      <c r="H2" s="539" t="str">
        <f>+Stammdaten!D2</f>
        <v>Version 2.0</v>
      </c>
    </row>
    <row r="3" spans="1:10" ht="15.75" thickBot="1" x14ac:dyDescent="0.3">
      <c r="A3" s="318">
        <f>+Stammdaten!B5</f>
        <v>0</v>
      </c>
      <c r="B3" s="1"/>
      <c r="C3" s="1">
        <f>+Stammdaten!B6</f>
        <v>0</v>
      </c>
      <c r="D3" s="1"/>
      <c r="E3" s="1"/>
      <c r="F3" s="540" t="s">
        <v>36</v>
      </c>
      <c r="G3" s="541"/>
      <c r="H3" s="542"/>
      <c r="J3" s="189"/>
    </row>
    <row r="4" spans="1:10" ht="75.75" customHeight="1" thickBot="1" x14ac:dyDescent="0.3">
      <c r="A4" s="996" t="s">
        <v>300</v>
      </c>
      <c r="B4" s="997"/>
      <c r="C4" s="997"/>
      <c r="D4" s="997"/>
      <c r="E4" s="997"/>
      <c r="F4" s="997"/>
      <c r="G4" s="997"/>
      <c r="H4" s="998"/>
      <c r="J4" s="294"/>
    </row>
    <row r="5" spans="1:10" x14ac:dyDescent="0.25">
      <c r="A5" s="190"/>
      <c r="B5" s="114"/>
      <c r="C5" s="114"/>
      <c r="D5" s="114"/>
      <c r="E5" s="114"/>
      <c r="F5" s="114"/>
      <c r="G5" s="114"/>
      <c r="H5" s="191"/>
      <c r="J5" s="294"/>
    </row>
    <row r="6" spans="1:10" ht="21" x14ac:dyDescent="0.35">
      <c r="A6" s="543" t="s">
        <v>215</v>
      </c>
      <c r="B6" s="489"/>
      <c r="C6" s="488" t="s">
        <v>143</v>
      </c>
      <c r="D6" s="489"/>
      <c r="E6" s="489"/>
      <c r="F6" s="489"/>
      <c r="G6" s="544"/>
      <c r="H6" s="545"/>
      <c r="J6" s="189"/>
    </row>
    <row r="7" spans="1:10" ht="33" customHeight="1" thickBot="1" x14ac:dyDescent="0.3">
      <c r="A7" s="1041" t="s">
        <v>216</v>
      </c>
      <c r="B7" s="1042"/>
      <c r="C7" s="546" t="s">
        <v>136</v>
      </c>
      <c r="D7" s="546" t="s">
        <v>137</v>
      </c>
      <c r="E7" s="547" t="s">
        <v>117</v>
      </c>
      <c r="F7" s="547" t="s">
        <v>118</v>
      </c>
      <c r="G7" s="548" t="s">
        <v>133</v>
      </c>
      <c r="H7" s="549" t="s">
        <v>119</v>
      </c>
      <c r="J7" s="294"/>
    </row>
    <row r="8" spans="1:10" x14ac:dyDescent="0.25">
      <c r="A8" s="550" t="s">
        <v>124</v>
      </c>
      <c r="B8" s="551"/>
      <c r="C8" s="552" t="s">
        <v>155</v>
      </c>
      <c r="D8" s="553"/>
      <c r="E8" s="553"/>
      <c r="F8" s="553"/>
      <c r="G8" s="553"/>
      <c r="H8" s="554"/>
      <c r="J8" s="189"/>
    </row>
    <row r="9" spans="1:10" x14ac:dyDescent="0.25">
      <c r="A9" s="295" t="s">
        <v>128</v>
      </c>
      <c r="B9" s="296"/>
      <c r="C9" s="297"/>
      <c r="D9" s="297"/>
      <c r="E9" s="298"/>
      <c r="F9" s="298"/>
      <c r="G9" s="299"/>
      <c r="H9" s="319">
        <f>+SUM(C9:G9)</f>
        <v>0</v>
      </c>
      <c r="J9" s="189"/>
    </row>
    <row r="10" spans="1:10" x14ac:dyDescent="0.25">
      <c r="A10" s="295" t="s">
        <v>131</v>
      </c>
      <c r="B10" s="296"/>
      <c r="C10" s="297"/>
      <c r="D10" s="297"/>
      <c r="E10" s="298"/>
      <c r="F10" s="298"/>
      <c r="G10" s="299"/>
      <c r="H10" s="319">
        <f>+SUM(C10:G10)</f>
        <v>0</v>
      </c>
      <c r="J10" s="189"/>
    </row>
    <row r="11" spans="1:10" x14ac:dyDescent="0.25">
      <c r="A11" s="295" t="s">
        <v>130</v>
      </c>
      <c r="B11" s="296"/>
      <c r="C11" s="297"/>
      <c r="D11" s="297"/>
      <c r="E11" s="298"/>
      <c r="F11" s="298"/>
      <c r="G11" s="299"/>
      <c r="H11" s="319">
        <f>+SUM(C11:G11)</f>
        <v>0</v>
      </c>
      <c r="J11" s="189"/>
    </row>
    <row r="12" spans="1:10" x14ac:dyDescent="0.25">
      <c r="A12" s="295" t="s">
        <v>134</v>
      </c>
      <c r="B12" s="296"/>
      <c r="C12" s="297"/>
      <c r="D12" s="297"/>
      <c r="E12" s="298"/>
      <c r="F12" s="298"/>
      <c r="G12" s="299"/>
      <c r="H12" s="319">
        <f>+SUM(C12:G12)</f>
        <v>0</v>
      </c>
      <c r="J12" s="189"/>
    </row>
    <row r="13" spans="1:10" x14ac:dyDescent="0.25">
      <c r="A13" s="295" t="s">
        <v>129</v>
      </c>
      <c r="B13" s="296"/>
      <c r="C13" s="297"/>
      <c r="D13" s="297"/>
      <c r="E13" s="298"/>
      <c r="F13" s="298"/>
      <c r="G13" s="299"/>
      <c r="H13" s="319">
        <f>+SUM(C13:G13)</f>
        <v>0</v>
      </c>
      <c r="J13" s="189"/>
    </row>
    <row r="14" spans="1:10" x14ac:dyDescent="0.25">
      <c r="A14" s="295" t="s">
        <v>135</v>
      </c>
      <c r="B14" s="296"/>
      <c r="C14" s="297"/>
      <c r="D14" s="297"/>
      <c r="E14" s="298"/>
      <c r="F14" s="298"/>
      <c r="G14" s="299"/>
      <c r="H14" s="319">
        <f t="shared" ref="H14:H18" si="0">+SUM(C14:G14)</f>
        <v>0</v>
      </c>
      <c r="J14" s="189"/>
    </row>
    <row r="15" spans="1:10" x14ac:dyDescent="0.25">
      <c r="A15" s="295" t="s">
        <v>132</v>
      </c>
      <c r="B15" s="296"/>
      <c r="C15" s="297"/>
      <c r="D15" s="297"/>
      <c r="E15" s="298"/>
      <c r="F15" s="298"/>
      <c r="G15" s="299"/>
      <c r="H15" s="319">
        <f t="shared" si="0"/>
        <v>0</v>
      </c>
      <c r="J15" s="189"/>
    </row>
    <row r="16" spans="1:10" x14ac:dyDescent="0.25">
      <c r="A16" s="295" t="s">
        <v>127</v>
      </c>
      <c r="B16" s="296"/>
      <c r="C16" s="297"/>
      <c r="D16" s="297"/>
      <c r="E16" s="300"/>
      <c r="F16" s="298"/>
      <c r="G16" s="299"/>
      <c r="H16" s="319">
        <f t="shared" si="0"/>
        <v>0</v>
      </c>
      <c r="J16" s="294"/>
    </row>
    <row r="17" spans="1:11" x14ac:dyDescent="0.25">
      <c r="A17" s="295"/>
      <c r="B17" s="296"/>
      <c r="C17" s="297"/>
      <c r="D17" s="297"/>
      <c r="E17" s="298"/>
      <c r="F17" s="298"/>
      <c r="G17" s="299"/>
      <c r="H17" s="319">
        <f t="shared" si="0"/>
        <v>0</v>
      </c>
      <c r="J17" s="189"/>
    </row>
    <row r="18" spans="1:11" ht="15.95" customHeight="1" thickBot="1" x14ac:dyDescent="0.3">
      <c r="A18" s="301"/>
      <c r="B18" s="302"/>
      <c r="C18" s="303"/>
      <c r="D18" s="303"/>
      <c r="E18" s="304"/>
      <c r="F18" s="304"/>
      <c r="G18" s="305"/>
      <c r="H18" s="319">
        <f t="shared" si="0"/>
        <v>0</v>
      </c>
      <c r="J18" s="189"/>
    </row>
    <row r="19" spans="1:11" ht="16.5" thickTop="1" thickBot="1" x14ac:dyDescent="0.3">
      <c r="A19" s="727" t="s">
        <v>125</v>
      </c>
      <c r="B19" s="728"/>
      <c r="C19" s="321">
        <f t="shared" ref="C19:H19" si="1">+SUM(C9:C18)</f>
        <v>0</v>
      </c>
      <c r="D19" s="321">
        <f t="shared" si="1"/>
        <v>0</v>
      </c>
      <c r="E19" s="321">
        <f t="shared" si="1"/>
        <v>0</v>
      </c>
      <c r="F19" s="321">
        <f t="shared" si="1"/>
        <v>0</v>
      </c>
      <c r="G19" s="321">
        <f t="shared" si="1"/>
        <v>0</v>
      </c>
      <c r="H19" s="320">
        <f t="shared" si="1"/>
        <v>0</v>
      </c>
      <c r="J19" s="189"/>
    </row>
    <row r="20" spans="1:11" x14ac:dyDescent="0.25">
      <c r="A20" s="550" t="s">
        <v>126</v>
      </c>
      <c r="B20" s="551"/>
      <c r="C20" s="552" t="s">
        <v>155</v>
      </c>
      <c r="D20" s="553"/>
      <c r="E20" s="553"/>
      <c r="F20" s="553"/>
      <c r="G20" s="553"/>
      <c r="H20" s="554"/>
      <c r="J20" s="189"/>
    </row>
    <row r="21" spans="1:11" x14ac:dyDescent="0.25">
      <c r="A21" s="295" t="s">
        <v>120</v>
      </c>
      <c r="B21" s="296"/>
      <c r="C21" s="297"/>
      <c r="D21" s="297"/>
      <c r="E21" s="298"/>
      <c r="F21" s="298"/>
      <c r="G21" s="299"/>
      <c r="H21" s="319">
        <f t="shared" ref="H21:H27" si="2">+SUM(C21:G21)</f>
        <v>0</v>
      </c>
      <c r="J21" s="189"/>
    </row>
    <row r="22" spans="1:11" x14ac:dyDescent="0.25">
      <c r="A22" s="295" t="s">
        <v>121</v>
      </c>
      <c r="B22" s="296"/>
      <c r="C22" s="297"/>
      <c r="D22" s="297"/>
      <c r="E22" s="298"/>
      <c r="F22" s="298"/>
      <c r="G22" s="299"/>
      <c r="H22" s="319">
        <f t="shared" si="2"/>
        <v>0</v>
      </c>
      <c r="J22" s="189"/>
    </row>
    <row r="23" spans="1:11" x14ac:dyDescent="0.25">
      <c r="A23" s="295" t="s">
        <v>122</v>
      </c>
      <c r="B23" s="296"/>
      <c r="C23" s="297"/>
      <c r="D23" s="297"/>
      <c r="E23" s="298"/>
      <c r="F23" s="298"/>
      <c r="G23" s="299"/>
      <c r="H23" s="319">
        <f t="shared" si="2"/>
        <v>0</v>
      </c>
      <c r="J23" s="189"/>
    </row>
    <row r="24" spans="1:11" x14ac:dyDescent="0.25">
      <c r="A24" s="306" t="s">
        <v>127</v>
      </c>
      <c r="B24" s="307"/>
      <c r="C24" s="308"/>
      <c r="D24" s="308"/>
      <c r="E24" s="309"/>
      <c r="F24" s="309"/>
      <c r="G24" s="310"/>
      <c r="H24" s="319">
        <f t="shared" si="2"/>
        <v>0</v>
      </c>
      <c r="J24" s="189"/>
    </row>
    <row r="25" spans="1:11" x14ac:dyDescent="0.25">
      <c r="A25" s="306"/>
      <c r="B25" s="307"/>
      <c r="C25" s="308"/>
      <c r="D25" s="308"/>
      <c r="E25" s="309"/>
      <c r="F25" s="309"/>
      <c r="G25" s="310"/>
      <c r="H25" s="319">
        <f t="shared" si="2"/>
        <v>0</v>
      </c>
      <c r="J25" s="189"/>
    </row>
    <row r="26" spans="1:11" x14ac:dyDescent="0.25">
      <c r="A26" s="306"/>
      <c r="B26" s="307"/>
      <c r="C26" s="308"/>
      <c r="D26" s="308"/>
      <c r="E26" s="309"/>
      <c r="F26" s="309"/>
      <c r="G26" s="310"/>
      <c r="H26" s="319">
        <f t="shared" si="2"/>
        <v>0</v>
      </c>
      <c r="J26" s="189"/>
    </row>
    <row r="27" spans="1:11" ht="15.95" customHeight="1" thickBot="1" x14ac:dyDescent="0.3">
      <c r="A27" s="301"/>
      <c r="B27" s="302"/>
      <c r="C27" s="303"/>
      <c r="D27" s="303"/>
      <c r="E27" s="304"/>
      <c r="F27" s="304"/>
      <c r="G27" s="305"/>
      <c r="H27" s="324">
        <f t="shared" si="2"/>
        <v>0</v>
      </c>
      <c r="J27" s="189"/>
    </row>
    <row r="28" spans="1:11" ht="17.100000000000001" customHeight="1" thickTop="1" thickBot="1" x14ac:dyDescent="0.3">
      <c r="A28" s="727" t="s">
        <v>123</v>
      </c>
      <c r="B28" s="728"/>
      <c r="C28" s="321">
        <f t="shared" ref="C28:H28" si="3">+SUM(C21:C27)</f>
        <v>0</v>
      </c>
      <c r="D28" s="321">
        <f t="shared" si="3"/>
        <v>0</v>
      </c>
      <c r="E28" s="321">
        <f t="shared" si="3"/>
        <v>0</v>
      </c>
      <c r="F28" s="321">
        <f t="shared" si="3"/>
        <v>0</v>
      </c>
      <c r="G28" s="321">
        <f t="shared" si="3"/>
        <v>0</v>
      </c>
      <c r="H28" s="320">
        <f t="shared" si="3"/>
        <v>0</v>
      </c>
      <c r="J28" s="189"/>
    </row>
    <row r="29" spans="1:11" ht="15.75" thickBot="1" x14ac:dyDescent="0.3">
      <c r="A29" s="729" t="s">
        <v>138</v>
      </c>
      <c r="B29" s="631"/>
      <c r="C29" s="322">
        <f>+C28+C19</f>
        <v>0</v>
      </c>
      <c r="D29" s="322">
        <f>+D28+D19</f>
        <v>0</v>
      </c>
      <c r="E29" s="322">
        <f>+E28+E19</f>
        <v>0</v>
      </c>
      <c r="F29" s="322">
        <f>+F28+F19</f>
        <v>0</v>
      </c>
      <c r="G29" s="322">
        <f>+G28+G19</f>
        <v>0</v>
      </c>
      <c r="H29" s="323">
        <f>SUM(C29:G29)</f>
        <v>0</v>
      </c>
      <c r="J29" s="107" t="s">
        <v>5</v>
      </c>
      <c r="K29" s="160">
        <f>+H29-H28-H19</f>
        <v>0</v>
      </c>
    </row>
    <row r="30" spans="1:11" x14ac:dyDescent="0.25">
      <c r="A30" s="190"/>
      <c r="B30" s="114"/>
      <c r="C30" s="114"/>
      <c r="D30" s="114"/>
      <c r="E30" s="114"/>
      <c r="F30" s="114"/>
      <c r="G30" s="114"/>
      <c r="H30" s="191"/>
      <c r="J30" s="189"/>
    </row>
    <row r="31" spans="1:11" ht="21" x14ac:dyDescent="0.35">
      <c r="A31" s="543" t="s">
        <v>214</v>
      </c>
      <c r="B31" s="691"/>
      <c r="C31" s="692"/>
      <c r="D31" s="220"/>
      <c r="E31" s="114"/>
      <c r="F31" s="114"/>
      <c r="G31" s="114"/>
      <c r="H31" s="191"/>
      <c r="J31" s="189"/>
    </row>
    <row r="32" spans="1:11" x14ac:dyDescent="0.25">
      <c r="A32" s="480" t="s">
        <v>63</v>
      </c>
      <c r="B32" s="32" t="s">
        <v>158</v>
      </c>
      <c r="C32" s="222"/>
      <c r="D32" s="223"/>
      <c r="E32" s="114"/>
      <c r="F32" s="114"/>
      <c r="G32" s="114"/>
      <c r="H32" s="191"/>
      <c r="J32" s="189"/>
    </row>
    <row r="33" spans="1:10" x14ac:dyDescent="0.25">
      <c r="A33" s="225" t="s">
        <v>75</v>
      </c>
      <c r="B33" s="226"/>
      <c r="C33" s="227"/>
      <c r="D33" s="228"/>
      <c r="E33" s="114"/>
      <c r="F33" s="114"/>
      <c r="G33" s="114"/>
      <c r="H33" s="191"/>
      <c r="J33" s="189"/>
    </row>
    <row r="34" spans="1:10" x14ac:dyDescent="0.25">
      <c r="A34" s="225" t="s">
        <v>76</v>
      </c>
      <c r="B34" s="226"/>
      <c r="C34" s="227"/>
      <c r="D34" s="228"/>
      <c r="E34" s="114"/>
      <c r="F34" s="114"/>
      <c r="G34" s="114"/>
      <c r="H34" s="191"/>
      <c r="J34" s="189"/>
    </row>
    <row r="35" spans="1:10" x14ac:dyDescent="0.25">
      <c r="A35" s="225" t="s">
        <v>77</v>
      </c>
      <c r="B35" s="226"/>
      <c r="C35" s="230"/>
      <c r="D35" s="228"/>
      <c r="E35" s="114"/>
      <c r="F35" s="114"/>
      <c r="G35" s="114"/>
      <c r="H35" s="191"/>
      <c r="J35" s="189"/>
    </row>
    <row r="36" spans="1:10" x14ac:dyDescent="0.25">
      <c r="A36" s="730" t="s">
        <v>63</v>
      </c>
      <c r="B36" s="262">
        <f>SUM(B33:B35)</f>
        <v>0</v>
      </c>
      <c r="C36" s="227"/>
      <c r="D36" s="228"/>
      <c r="E36" s="114"/>
      <c r="F36" s="114"/>
      <c r="G36" s="114"/>
      <c r="H36" s="191"/>
      <c r="J36" s="189"/>
    </row>
    <row r="37" spans="1:10" x14ac:dyDescent="0.25">
      <c r="A37" s="64"/>
      <c r="B37" s="231"/>
      <c r="C37" s="188"/>
      <c r="D37" s="232"/>
      <c r="E37" s="114"/>
      <c r="F37" s="114"/>
      <c r="G37" s="114"/>
      <c r="H37" s="191"/>
      <c r="J37" s="189"/>
    </row>
    <row r="38" spans="1:10" x14ac:dyDescent="0.25">
      <c r="A38" s="480" t="s">
        <v>81</v>
      </c>
      <c r="B38" s="32" t="s">
        <v>158</v>
      </c>
      <c r="C38" s="705" t="s">
        <v>152</v>
      </c>
      <c r="D38" s="223"/>
      <c r="E38" s="114"/>
      <c r="F38" s="114"/>
      <c r="G38" s="114"/>
      <c r="H38" s="191"/>
      <c r="J38" s="189"/>
    </row>
    <row r="39" spans="1:10" x14ac:dyDescent="0.25">
      <c r="A39" s="225" t="s">
        <v>87</v>
      </c>
      <c r="B39" s="196"/>
      <c r="C39" s="234"/>
      <c r="D39" s="266">
        <f>B39*C39</f>
        <v>0</v>
      </c>
      <c r="E39" s="114"/>
      <c r="F39" s="114"/>
      <c r="G39" s="114"/>
      <c r="H39" s="191"/>
      <c r="J39" s="189"/>
    </row>
    <row r="40" spans="1:10" x14ac:dyDescent="0.25">
      <c r="A40" s="225" t="s">
        <v>88</v>
      </c>
      <c r="B40" s="196"/>
      <c r="C40" s="234"/>
      <c r="D40" s="266">
        <f>B40*C40</f>
        <v>0</v>
      </c>
      <c r="E40" s="114"/>
      <c r="F40" s="114"/>
      <c r="G40" s="114"/>
      <c r="H40" s="191"/>
      <c r="J40" s="189"/>
    </row>
    <row r="41" spans="1:10" x14ac:dyDescent="0.25">
      <c r="A41" s="706" t="s">
        <v>52</v>
      </c>
      <c r="B41" s="263">
        <f>+C29</f>
        <v>0</v>
      </c>
      <c r="C41" s="234"/>
      <c r="D41" s="266">
        <f>B41*C41</f>
        <v>0</v>
      </c>
      <c r="E41" s="114"/>
      <c r="F41" s="114"/>
      <c r="G41" s="114"/>
      <c r="H41" s="191"/>
      <c r="J41" s="189"/>
    </row>
    <row r="42" spans="1:10" x14ac:dyDescent="0.25">
      <c r="A42" s="225" t="s">
        <v>89</v>
      </c>
      <c r="B42" s="196"/>
      <c r="C42" s="234"/>
      <c r="D42" s="266">
        <f>B42*C42</f>
        <v>0</v>
      </c>
      <c r="E42" s="114"/>
      <c r="F42" s="114"/>
      <c r="G42" s="114"/>
      <c r="H42" s="191"/>
      <c r="J42" s="189"/>
    </row>
    <row r="43" spans="1:10" x14ac:dyDescent="0.25">
      <c r="A43" s="730" t="s">
        <v>82</v>
      </c>
      <c r="B43" s="262">
        <f>SUM(B39:B42)</f>
        <v>0</v>
      </c>
      <c r="C43" s="265" t="e">
        <f>((B41*C41)+(B39*C39)+(B42*C42)+(B40*C40))/B43</f>
        <v>#DIV/0!</v>
      </c>
      <c r="D43" s="267">
        <f>SUM(D39:D42)</f>
        <v>0</v>
      </c>
      <c r="E43" s="114"/>
      <c r="F43" s="114"/>
      <c r="G43" s="114"/>
      <c r="H43" s="191"/>
      <c r="J43" s="189"/>
    </row>
    <row r="44" spans="1:10" x14ac:dyDescent="0.25">
      <c r="A44" s="64"/>
      <c r="B44" s="114"/>
      <c r="C44" s="188"/>
      <c r="D44" s="214"/>
      <c r="E44" s="114"/>
      <c r="F44" s="114"/>
      <c r="G44" s="114"/>
      <c r="H44" s="191"/>
      <c r="J44" s="189"/>
    </row>
    <row r="45" spans="1:10" x14ac:dyDescent="0.25">
      <c r="A45" s="480" t="s">
        <v>83</v>
      </c>
      <c r="B45" s="32" t="s">
        <v>158</v>
      </c>
      <c r="C45" s="705" t="s">
        <v>152</v>
      </c>
      <c r="D45" s="235"/>
      <c r="E45" s="114"/>
      <c r="F45" s="114"/>
      <c r="G45" s="114"/>
      <c r="H45" s="191"/>
      <c r="J45" s="189"/>
    </row>
    <row r="46" spans="1:10" x14ac:dyDescent="0.25">
      <c r="A46" s="707" t="s">
        <v>83</v>
      </c>
      <c r="B46" s="268">
        <f>+H29-B36-B43-B47-B48-B49</f>
        <v>0</v>
      </c>
      <c r="C46" s="264">
        <f>+'B_1 Geb. Kaltmiete'!C93</f>
        <v>1.4999999999999999E-2</v>
      </c>
      <c r="D46" s="269">
        <f>B46*C46</f>
        <v>0</v>
      </c>
      <c r="E46" s="114"/>
      <c r="F46" s="114"/>
      <c r="G46" s="114"/>
      <c r="H46" s="191"/>
      <c r="J46" s="189"/>
    </row>
    <row r="47" spans="1:10" x14ac:dyDescent="0.25">
      <c r="A47" s="225" t="s">
        <v>86</v>
      </c>
      <c r="B47" s="226"/>
      <c r="C47" s="264">
        <v>0</v>
      </c>
      <c r="D47" s="269">
        <f>B47*C47</f>
        <v>0</v>
      </c>
      <c r="E47" s="114"/>
      <c r="F47" s="114"/>
      <c r="G47" s="114"/>
      <c r="H47" s="191"/>
      <c r="J47" s="189"/>
    </row>
    <row r="48" spans="1:10" x14ac:dyDescent="0.25">
      <c r="A48" s="225" t="s">
        <v>77</v>
      </c>
      <c r="B48" s="226"/>
      <c r="C48" s="264">
        <f>+C46</f>
        <v>1.4999999999999999E-2</v>
      </c>
      <c r="D48" s="269">
        <f>B48*C48</f>
        <v>0</v>
      </c>
      <c r="E48" s="114"/>
      <c r="F48" s="114"/>
      <c r="G48" s="114"/>
      <c r="H48" s="191"/>
      <c r="J48" s="189"/>
    </row>
    <row r="49" spans="1:10" x14ac:dyDescent="0.25">
      <c r="A49" s="233" t="s">
        <v>89</v>
      </c>
      <c r="B49" s="226"/>
      <c r="C49" s="264">
        <f>+C46</f>
        <v>1.4999999999999999E-2</v>
      </c>
      <c r="D49" s="269">
        <f>B49*C49</f>
        <v>0</v>
      </c>
      <c r="E49" s="114"/>
      <c r="F49" s="114"/>
      <c r="G49" s="114"/>
      <c r="H49" s="191"/>
      <c r="J49" s="189"/>
    </row>
    <row r="50" spans="1:10" x14ac:dyDescent="0.25">
      <c r="A50" s="730" t="s">
        <v>84</v>
      </c>
      <c r="B50" s="262">
        <f>SUM(B46:B49)</f>
        <v>0</v>
      </c>
      <c r="C50" s="708"/>
      <c r="D50" s="270">
        <f>SUM(D46:D49)</f>
        <v>0</v>
      </c>
      <c r="E50" s="114"/>
      <c r="F50" s="114"/>
      <c r="G50" s="114"/>
      <c r="H50" s="191"/>
      <c r="J50" s="189"/>
    </row>
    <row r="51" spans="1:10" x14ac:dyDescent="0.25">
      <c r="A51" s="731"/>
      <c r="B51" s="732"/>
      <c r="C51" s="733"/>
      <c r="D51" s="734"/>
      <c r="E51" s="114"/>
      <c r="F51" s="114"/>
      <c r="G51" s="114"/>
      <c r="H51" s="191"/>
      <c r="J51" s="189"/>
    </row>
    <row r="52" spans="1:10" x14ac:dyDescent="0.25">
      <c r="A52" s="688" t="s">
        <v>85</v>
      </c>
      <c r="B52" s="271">
        <f>+B36+B43+B50</f>
        <v>0</v>
      </c>
      <c r="C52" s="498"/>
      <c r="D52" s="247">
        <f>D50+D43</f>
        <v>0</v>
      </c>
      <c r="E52" s="114"/>
      <c r="F52" s="114"/>
      <c r="G52" s="114"/>
      <c r="H52" s="191"/>
      <c r="J52" s="189"/>
    </row>
    <row r="53" spans="1:10" x14ac:dyDescent="0.25">
      <c r="A53" s="190"/>
      <c r="B53" s="114"/>
      <c r="C53" s="114"/>
      <c r="D53" s="114"/>
      <c r="E53" s="114"/>
      <c r="F53" s="114"/>
      <c r="G53" s="114"/>
      <c r="H53" s="191"/>
      <c r="J53" s="189"/>
    </row>
    <row r="54" spans="1:10" ht="21" x14ac:dyDescent="0.35">
      <c r="A54" s="543" t="s">
        <v>213</v>
      </c>
      <c r="B54" s="691"/>
      <c r="C54" s="692"/>
      <c r="D54" s="254"/>
      <c r="E54" s="114"/>
      <c r="F54" s="114"/>
      <c r="G54" s="114"/>
      <c r="H54" s="191"/>
      <c r="J54" s="189"/>
    </row>
    <row r="55" spans="1:10" x14ac:dyDescent="0.25">
      <c r="A55" s="480" t="s">
        <v>157</v>
      </c>
      <c r="B55" s="3"/>
      <c r="C55" s="3"/>
      <c r="D55" s="32" t="s">
        <v>267</v>
      </c>
      <c r="E55" s="114"/>
      <c r="F55" s="114"/>
      <c r="G55" s="114"/>
      <c r="H55" s="191"/>
      <c r="J55" s="189"/>
    </row>
    <row r="56" spans="1:10" x14ac:dyDescent="0.25">
      <c r="A56" s="233" t="s">
        <v>75</v>
      </c>
      <c r="B56" s="404"/>
      <c r="C56" s="451"/>
      <c r="D56" s="196"/>
      <c r="E56" s="114"/>
      <c r="F56" s="114"/>
      <c r="G56" s="114"/>
      <c r="H56" s="191"/>
      <c r="J56" s="189"/>
    </row>
    <row r="57" spans="1:10" x14ac:dyDescent="0.25">
      <c r="A57" s="233" t="s">
        <v>76</v>
      </c>
      <c r="B57" s="404"/>
      <c r="C57" s="451"/>
      <c r="D57" s="196"/>
      <c r="E57" s="114"/>
      <c r="F57" s="114"/>
      <c r="G57" s="114"/>
      <c r="H57" s="191"/>
      <c r="J57" s="189"/>
    </row>
    <row r="58" spans="1:10" x14ac:dyDescent="0.25">
      <c r="A58" s="233" t="s">
        <v>77</v>
      </c>
      <c r="B58" s="404"/>
      <c r="C58" s="115"/>
      <c r="D58" s="196"/>
      <c r="E58" s="114"/>
      <c r="F58" s="114"/>
      <c r="G58" s="114"/>
      <c r="H58" s="191"/>
      <c r="J58" s="189"/>
    </row>
    <row r="59" spans="1:10" x14ac:dyDescent="0.25">
      <c r="A59" s="730" t="s">
        <v>9</v>
      </c>
      <c r="B59" s="735"/>
      <c r="C59" s="395"/>
      <c r="D59" s="394">
        <f>SUM(D56:D58)</f>
        <v>0</v>
      </c>
      <c r="E59" s="114"/>
      <c r="F59" s="114"/>
      <c r="G59" s="114"/>
      <c r="H59" s="191"/>
      <c r="J59" s="189"/>
    </row>
    <row r="60" spans="1:10" x14ac:dyDescent="0.25">
      <c r="A60" s="64"/>
      <c r="B60" s="114"/>
      <c r="C60" s="114"/>
      <c r="D60" s="245"/>
      <c r="E60" s="114"/>
      <c r="F60" s="114"/>
      <c r="G60" s="114"/>
      <c r="H60" s="191"/>
      <c r="J60" s="189"/>
    </row>
    <row r="61" spans="1:10" x14ac:dyDescent="0.25">
      <c r="A61" s="480" t="s">
        <v>78</v>
      </c>
      <c r="B61" s="3"/>
      <c r="C61" s="3"/>
      <c r="D61" s="32" t="s">
        <v>267</v>
      </c>
      <c r="E61" s="114"/>
      <c r="F61" s="114"/>
      <c r="G61" s="114"/>
      <c r="H61" s="191"/>
      <c r="J61" s="189"/>
    </row>
    <row r="62" spans="1:10" x14ac:dyDescent="0.25">
      <c r="A62" s="233" t="s">
        <v>75</v>
      </c>
      <c r="B62" s="404"/>
      <c r="C62" s="451"/>
      <c r="D62" s="196"/>
      <c r="E62" s="114"/>
      <c r="F62" s="114"/>
      <c r="G62" s="114"/>
      <c r="H62" s="191"/>
      <c r="J62" s="189"/>
    </row>
    <row r="63" spans="1:10" x14ac:dyDescent="0.25">
      <c r="A63" s="233" t="s">
        <v>76</v>
      </c>
      <c r="B63" s="404"/>
      <c r="C63" s="451"/>
      <c r="D63" s="196"/>
      <c r="E63" s="114"/>
      <c r="F63" s="114"/>
      <c r="G63" s="114"/>
      <c r="H63" s="191"/>
      <c r="J63" s="189"/>
    </row>
    <row r="64" spans="1:10" x14ac:dyDescent="0.25">
      <c r="A64" s="233" t="s">
        <v>77</v>
      </c>
      <c r="B64" s="404"/>
      <c r="C64" s="115"/>
      <c r="D64" s="196"/>
      <c r="E64" s="114"/>
      <c r="F64" s="114"/>
      <c r="G64" s="114"/>
      <c r="H64" s="191"/>
      <c r="J64" s="189"/>
    </row>
    <row r="65" spans="1:11" x14ac:dyDescent="0.25">
      <c r="A65" s="730" t="s">
        <v>9</v>
      </c>
      <c r="B65" s="735"/>
      <c r="C65" s="395"/>
      <c r="D65" s="394">
        <f>SUM(D62:D64)</f>
        <v>0</v>
      </c>
      <c r="E65" s="114"/>
      <c r="F65" s="114"/>
      <c r="G65" s="114"/>
      <c r="H65" s="191"/>
      <c r="J65" s="189"/>
    </row>
    <row r="66" spans="1:11" x14ac:dyDescent="0.25">
      <c r="A66" s="109"/>
      <c r="B66" s="439"/>
      <c r="C66" s="439"/>
      <c r="D66" s="736"/>
      <c r="E66" s="114"/>
      <c r="F66" s="114"/>
      <c r="G66" s="114"/>
      <c r="H66" s="191"/>
      <c r="J66" s="189"/>
    </row>
    <row r="67" spans="1:11" x14ac:dyDescent="0.25">
      <c r="A67" s="497" t="s">
        <v>79</v>
      </c>
      <c r="B67" s="498"/>
      <c r="C67" s="498"/>
      <c r="D67" s="247">
        <f>D65+D59</f>
        <v>0</v>
      </c>
      <c r="E67" s="114"/>
      <c r="F67" s="114"/>
      <c r="G67" s="114"/>
      <c r="H67" s="191"/>
      <c r="J67" s="189"/>
    </row>
    <row r="68" spans="1:11" x14ac:dyDescent="0.25">
      <c r="A68" s="190"/>
      <c r="B68" s="114"/>
      <c r="C68" s="114"/>
      <c r="D68" s="114"/>
      <c r="E68" s="114"/>
      <c r="F68" s="114"/>
      <c r="G68" s="114"/>
      <c r="H68" s="191"/>
      <c r="J68" s="189"/>
    </row>
    <row r="69" spans="1:11" x14ac:dyDescent="0.25">
      <c r="A69" s="190"/>
      <c r="B69" s="114"/>
      <c r="C69" s="114"/>
      <c r="D69" s="114"/>
      <c r="E69" s="114"/>
      <c r="F69" s="114"/>
      <c r="G69" s="114"/>
      <c r="H69" s="191"/>
      <c r="J69" s="189"/>
    </row>
    <row r="70" spans="1:11" ht="21" x14ac:dyDescent="0.35">
      <c r="A70" s="737" t="s">
        <v>194</v>
      </c>
      <c r="B70" s="698"/>
      <c r="C70" s="698"/>
      <c r="D70" s="738" t="s">
        <v>16</v>
      </c>
      <c r="E70" s="738" t="s">
        <v>106</v>
      </c>
      <c r="F70" s="114"/>
      <c r="G70" s="114"/>
      <c r="H70" s="191"/>
      <c r="J70" s="189"/>
    </row>
    <row r="71" spans="1:11" x14ac:dyDescent="0.25">
      <c r="A71" s="484" t="s">
        <v>221</v>
      </c>
      <c r="B71" s="615"/>
      <c r="C71" s="601"/>
      <c r="D71" s="311"/>
      <c r="E71" s="325">
        <f>IF(D71&gt;0,D71/D71,1)</f>
        <v>1</v>
      </c>
      <c r="F71" s="114"/>
      <c r="G71" s="114"/>
      <c r="H71" s="191"/>
      <c r="I71" s="369" t="str">
        <f>+IF(AND(D72&gt;D71,D71&gt;0),"Achtung: Die Gesamtzahl der Plätze muss größer sein als die Platzzahl des hier berechneten Angebots","")</f>
        <v/>
      </c>
      <c r="J71" s="189"/>
    </row>
    <row r="72" spans="1:11" x14ac:dyDescent="0.25">
      <c r="A72" s="318" t="s">
        <v>195</v>
      </c>
      <c r="B72" s="739"/>
      <c r="C72" s="328">
        <f>+Stammdaten!B5</f>
        <v>0</v>
      </c>
      <c r="D72" s="327">
        <f>+Stammdaten!B7</f>
        <v>0</v>
      </c>
      <c r="E72" s="326">
        <f>IF(D71&gt;0,D72/D71,0)</f>
        <v>0</v>
      </c>
      <c r="F72" s="114"/>
      <c r="G72" s="114"/>
      <c r="H72" s="191"/>
      <c r="J72" s="189"/>
    </row>
    <row r="73" spans="1:11" x14ac:dyDescent="0.25">
      <c r="A73" s="313"/>
      <c r="B73" s="70"/>
      <c r="C73" s="314"/>
      <c r="D73" s="112"/>
      <c r="E73" s="114"/>
      <c r="F73" s="114"/>
      <c r="G73" s="114"/>
      <c r="H73" s="191"/>
      <c r="J73" s="189"/>
    </row>
    <row r="74" spans="1:11" x14ac:dyDescent="0.25">
      <c r="A74" s="221"/>
      <c r="B74" s="74"/>
      <c r="C74" s="114"/>
      <c r="D74" s="114"/>
      <c r="E74" s="114"/>
      <c r="F74" s="114"/>
      <c r="G74" s="114"/>
      <c r="H74" s="191"/>
      <c r="J74" s="189"/>
    </row>
    <row r="75" spans="1:11" ht="21" x14ac:dyDescent="0.35">
      <c r="A75" s="740" t="s">
        <v>211</v>
      </c>
      <c r="B75" s="741">
        <f>+Stammdaten!B5</f>
        <v>0</v>
      </c>
      <c r="C75" s="439"/>
      <c r="D75" s="439"/>
      <c r="E75" s="114"/>
      <c r="F75" s="114"/>
      <c r="G75" s="114"/>
      <c r="H75" s="191"/>
      <c r="J75" s="189"/>
    </row>
    <row r="76" spans="1:11" ht="18.75" x14ac:dyDescent="0.3">
      <c r="A76" s="497" t="s">
        <v>255</v>
      </c>
      <c r="B76" s="735"/>
      <c r="C76" s="720"/>
      <c r="D76" s="721"/>
      <c r="E76" s="114"/>
      <c r="F76" s="114"/>
      <c r="G76" s="114"/>
      <c r="H76" s="191"/>
      <c r="J76" s="192"/>
    </row>
    <row r="77" spans="1:11" ht="15.75" x14ac:dyDescent="0.25">
      <c r="A77" s="109"/>
      <c r="B77" s="686"/>
      <c r="C77" s="687"/>
      <c r="D77" s="742"/>
      <c r="E77" s="114"/>
      <c r="F77" s="114"/>
      <c r="G77" s="114"/>
      <c r="H77" s="191"/>
    </row>
    <row r="78" spans="1:11" x14ac:dyDescent="0.25">
      <c r="A78" s="688" t="s">
        <v>50</v>
      </c>
      <c r="B78" s="498"/>
      <c r="C78" s="498"/>
      <c r="D78" s="272"/>
      <c r="E78" s="114"/>
      <c r="F78" s="114"/>
      <c r="G78" s="114"/>
      <c r="H78" s="191"/>
    </row>
    <row r="79" spans="1:11" x14ac:dyDescent="0.25">
      <c r="A79" s="31" t="s">
        <v>51</v>
      </c>
      <c r="B79" s="3" t="s">
        <v>52</v>
      </c>
      <c r="C79" s="3"/>
      <c r="D79" s="251">
        <f>+C29*E72</f>
        <v>0</v>
      </c>
      <c r="E79" s="114"/>
      <c r="F79" s="114"/>
      <c r="G79" s="114"/>
      <c r="H79" s="197"/>
      <c r="J79" s="78"/>
      <c r="K79" s="78"/>
    </row>
    <row r="80" spans="1:11" x14ac:dyDescent="0.25">
      <c r="A80" s="31" t="s">
        <v>53</v>
      </c>
      <c r="B80" s="3" t="s">
        <v>54</v>
      </c>
      <c r="C80" s="3"/>
      <c r="D80" s="251">
        <f>+D29*E72</f>
        <v>0</v>
      </c>
      <c r="E80" s="114"/>
      <c r="F80" s="114"/>
      <c r="G80" s="114"/>
      <c r="H80" s="197"/>
      <c r="J80" s="78"/>
      <c r="K80" s="78"/>
    </row>
    <row r="81" spans="1:11" x14ac:dyDescent="0.25">
      <c r="A81" s="602" t="s">
        <v>55</v>
      </c>
      <c r="B81" s="37" t="s">
        <v>56</v>
      </c>
      <c r="C81" s="743"/>
      <c r="D81" s="251">
        <f>+E29*E72</f>
        <v>0</v>
      </c>
      <c r="E81" s="188"/>
      <c r="F81" s="188"/>
      <c r="G81" s="114"/>
      <c r="H81" s="197"/>
      <c r="J81" s="78"/>
      <c r="K81" s="78"/>
    </row>
    <row r="82" spans="1:11" x14ac:dyDescent="0.25">
      <c r="A82" s="602" t="s">
        <v>57</v>
      </c>
      <c r="B82" s="37" t="s">
        <v>58</v>
      </c>
      <c r="C82" s="743"/>
      <c r="D82" s="251">
        <f>+F29*E72</f>
        <v>0</v>
      </c>
      <c r="E82" s="188"/>
      <c r="F82" s="188"/>
      <c r="G82" s="114"/>
      <c r="H82" s="197"/>
      <c r="J82" s="78"/>
      <c r="K82" s="78"/>
    </row>
    <row r="83" spans="1:11" x14ac:dyDescent="0.25">
      <c r="A83" s="31" t="s">
        <v>59</v>
      </c>
      <c r="B83" s="3" t="s">
        <v>60</v>
      </c>
      <c r="C83" s="3"/>
      <c r="D83" s="251">
        <f>+G29*E72</f>
        <v>0</v>
      </c>
      <c r="E83" s="114"/>
      <c r="F83" s="114"/>
      <c r="G83" s="114"/>
      <c r="H83" s="197"/>
      <c r="J83" s="198"/>
      <c r="K83" s="78"/>
    </row>
    <row r="84" spans="1:11" ht="15.75" x14ac:dyDescent="0.25">
      <c r="A84" s="690" t="s">
        <v>61</v>
      </c>
      <c r="B84" s="691"/>
      <c r="C84" s="692"/>
      <c r="D84" s="247">
        <f>SUM(D79:D83)</f>
        <v>0</v>
      </c>
      <c r="E84" s="114"/>
      <c r="F84" s="114"/>
      <c r="G84" s="114"/>
      <c r="H84" s="191"/>
      <c r="J84" s="107" t="s">
        <v>5</v>
      </c>
      <c r="K84" s="160">
        <f>+H29*E72-D84</f>
        <v>0</v>
      </c>
    </row>
    <row r="85" spans="1:11" ht="15.75" x14ac:dyDescent="0.25">
      <c r="A85" s="744"/>
      <c r="B85" s="686"/>
      <c r="C85" s="687"/>
      <c r="D85" s="745"/>
      <c r="E85" s="114"/>
      <c r="F85" s="114"/>
      <c r="G85" s="114"/>
      <c r="H85" s="191"/>
      <c r="J85" s="199"/>
      <c r="K85" s="78"/>
    </row>
    <row r="86" spans="1:11" ht="15.75" x14ac:dyDescent="0.25">
      <c r="A86" s="690" t="s">
        <v>62</v>
      </c>
      <c r="B86" s="691"/>
      <c r="C86" s="692"/>
      <c r="D86" s="254"/>
      <c r="E86" s="114"/>
      <c r="F86" s="114"/>
      <c r="G86" s="114"/>
      <c r="H86" s="197"/>
      <c r="J86" s="78"/>
      <c r="K86" s="78"/>
    </row>
    <row r="87" spans="1:11" x14ac:dyDescent="0.25">
      <c r="A87" s="31"/>
      <c r="B87" s="3"/>
      <c r="C87" s="693"/>
      <c r="D87" s="251"/>
      <c r="E87" s="114"/>
      <c r="F87" s="114"/>
      <c r="G87" s="114"/>
      <c r="H87" s="197"/>
      <c r="J87" s="78"/>
      <c r="K87" s="78"/>
    </row>
    <row r="88" spans="1:11" x14ac:dyDescent="0.25">
      <c r="A88" s="31" t="str">
        <f t="shared" ref="A88:B90" si="4">A80</f>
        <v>Kostengruppe 300</v>
      </c>
      <c r="B88" s="3" t="str">
        <f t="shared" si="4"/>
        <v>Bauwerk - Baukonstruktion</v>
      </c>
      <c r="C88" s="250">
        <f>IF(D80&gt;0,D80/(D80+D81+D82),0)</f>
        <v>0</v>
      </c>
      <c r="D88" s="255">
        <f>+C88*D91</f>
        <v>0</v>
      </c>
      <c r="E88" s="203"/>
      <c r="F88" s="203"/>
      <c r="G88" s="114"/>
      <c r="H88" s="208"/>
      <c r="J88" s="199"/>
      <c r="K88" s="78"/>
    </row>
    <row r="89" spans="1:11" x14ac:dyDescent="0.25">
      <c r="A89" s="602" t="str">
        <f t="shared" si="4"/>
        <v>Kostengruppe 400</v>
      </c>
      <c r="B89" s="3" t="str">
        <f t="shared" si="4"/>
        <v>Bauwerk - Technische Anlagen</v>
      </c>
      <c r="C89" s="250">
        <f>IF(D81&gt;0,D81/(D80+D81+D82),0)</f>
        <v>0</v>
      </c>
      <c r="D89" s="255">
        <f>+C89*$D$91</f>
        <v>0</v>
      </c>
      <c r="E89" s="188"/>
      <c r="F89" s="188"/>
      <c r="G89" s="114"/>
      <c r="H89" s="208"/>
      <c r="J89" s="199"/>
      <c r="K89" s="78"/>
    </row>
    <row r="90" spans="1:11" x14ac:dyDescent="0.25">
      <c r="A90" s="602" t="str">
        <f t="shared" si="4"/>
        <v>Kostengruppe 500</v>
      </c>
      <c r="B90" s="3" t="str">
        <f t="shared" si="4"/>
        <v>Außenanlagen</v>
      </c>
      <c r="C90" s="250">
        <f>IF(D82&gt;0,D82/(D80+D81+D82),0)</f>
        <v>0</v>
      </c>
      <c r="D90" s="255">
        <f>+C90*$D$91</f>
        <v>0</v>
      </c>
      <c r="E90" s="188"/>
      <c r="F90" s="188"/>
      <c r="G90" s="114"/>
      <c r="H90" s="208"/>
      <c r="J90" s="199"/>
      <c r="K90" s="78"/>
    </row>
    <row r="91" spans="1:11" ht="15.75" x14ac:dyDescent="0.25">
      <c r="A91" s="690" t="s">
        <v>63</v>
      </c>
      <c r="B91" s="691"/>
      <c r="C91" s="256">
        <f>+SUM(C88:C90)</f>
        <v>0</v>
      </c>
      <c r="D91" s="254">
        <f>+B36*E72</f>
        <v>0</v>
      </c>
      <c r="E91" s="114"/>
      <c r="F91" s="114"/>
      <c r="G91" s="114"/>
      <c r="H91" s="209"/>
      <c r="J91" s="107" t="s">
        <v>5</v>
      </c>
      <c r="K91" s="160">
        <f>+B36*E72-D91</f>
        <v>0</v>
      </c>
    </row>
    <row r="92" spans="1:11" x14ac:dyDescent="0.25">
      <c r="A92" s="746"/>
      <c r="B92" s="529"/>
      <c r="C92" s="747"/>
      <c r="D92" s="748"/>
      <c r="E92" s="114"/>
      <c r="F92" s="114"/>
      <c r="G92" s="114"/>
      <c r="H92" s="191"/>
    </row>
    <row r="93" spans="1:11" ht="15.75" x14ac:dyDescent="0.25">
      <c r="A93" s="695" t="s">
        <v>64</v>
      </c>
      <c r="B93" s="691"/>
      <c r="C93" s="692"/>
      <c r="D93" s="696"/>
      <c r="E93" s="114"/>
      <c r="F93" s="114"/>
      <c r="G93" s="114"/>
      <c r="H93" s="191"/>
    </row>
    <row r="94" spans="1:11" x14ac:dyDescent="0.25">
      <c r="A94" s="31" t="str">
        <f>A88</f>
        <v>Kostengruppe 300</v>
      </c>
      <c r="B94" s="3" t="str">
        <f t="shared" ref="B94:B96" si="5">B80</f>
        <v>Bauwerk - Baukonstruktion</v>
      </c>
      <c r="C94" s="250">
        <v>0.02</v>
      </c>
      <c r="D94" s="251">
        <f>(D80-D88)*C94</f>
        <v>0</v>
      </c>
      <c r="E94" s="114"/>
      <c r="F94" s="114"/>
      <c r="G94" s="114"/>
      <c r="H94" s="191"/>
    </row>
    <row r="95" spans="1:11" x14ac:dyDescent="0.25">
      <c r="A95" s="602" t="str">
        <f>A89</f>
        <v>Kostengruppe 400</v>
      </c>
      <c r="B95" s="3" t="str">
        <f t="shared" si="5"/>
        <v>Bauwerk - Technische Anlagen</v>
      </c>
      <c r="C95" s="250">
        <v>6.6699999999999995E-2</v>
      </c>
      <c r="D95" s="251">
        <f>(D81-D89)*C95</f>
        <v>0</v>
      </c>
      <c r="E95" s="315"/>
      <c r="F95" s="315"/>
      <c r="G95" s="114"/>
      <c r="H95" s="211"/>
      <c r="J95" s="212"/>
    </row>
    <row r="96" spans="1:11" x14ac:dyDescent="0.25">
      <c r="A96" s="602" t="str">
        <f>A90</f>
        <v>Kostengruppe 500</v>
      </c>
      <c r="B96" s="3" t="str">
        <f t="shared" si="5"/>
        <v>Außenanlagen</v>
      </c>
      <c r="C96" s="250">
        <v>0.04</v>
      </c>
      <c r="D96" s="251">
        <f>(D82-D90)*C96</f>
        <v>0</v>
      </c>
      <c r="E96" s="315"/>
      <c r="F96" s="315"/>
      <c r="G96" s="114"/>
      <c r="H96" s="213"/>
      <c r="J96" s="212"/>
    </row>
    <row r="97" spans="1:11" x14ac:dyDescent="0.25">
      <c r="A97" s="749"/>
      <c r="B97" s="498"/>
      <c r="C97" s="692"/>
      <c r="D97" s="750"/>
      <c r="E97" s="114"/>
      <c r="F97" s="114"/>
      <c r="G97" s="114"/>
      <c r="H97" s="191"/>
    </row>
    <row r="98" spans="1:11" x14ac:dyDescent="0.25">
      <c r="A98" s="602" t="str">
        <f>A83</f>
        <v>Kostengruppe 600</v>
      </c>
      <c r="B98" s="439" t="str">
        <f>B83</f>
        <v>Ausstattung</v>
      </c>
      <c r="C98" s="257">
        <v>0.125</v>
      </c>
      <c r="D98" s="258">
        <f>D83*C98</f>
        <v>0</v>
      </c>
      <c r="E98" s="114"/>
      <c r="F98" s="114"/>
      <c r="G98" s="114"/>
      <c r="H98" s="191"/>
    </row>
    <row r="99" spans="1:11" x14ac:dyDescent="0.25">
      <c r="A99" s="688" t="s">
        <v>65</v>
      </c>
      <c r="B99" s="498"/>
      <c r="C99" s="692"/>
      <c r="D99" s="254">
        <f>SUM(D94:D98)</f>
        <v>0</v>
      </c>
      <c r="E99" s="114"/>
      <c r="F99" s="316"/>
      <c r="G99" s="114"/>
      <c r="H99" s="191"/>
    </row>
    <row r="100" spans="1:11" x14ac:dyDescent="0.25">
      <c r="A100" s="109"/>
      <c r="B100" s="439"/>
      <c r="C100" s="532"/>
      <c r="D100" s="751"/>
      <c r="E100" s="114"/>
      <c r="F100" s="114"/>
      <c r="G100" s="114"/>
      <c r="H100" s="191"/>
    </row>
    <row r="101" spans="1:11" ht="15.75" x14ac:dyDescent="0.25">
      <c r="A101" s="695" t="s">
        <v>71</v>
      </c>
      <c r="B101" s="691"/>
      <c r="C101" s="692"/>
      <c r="D101" s="254"/>
      <c r="E101" s="114"/>
      <c r="F101" s="114"/>
      <c r="G101" s="114"/>
      <c r="H101" s="191"/>
    </row>
    <row r="102" spans="1:11" x14ac:dyDescent="0.25">
      <c r="A102" s="273"/>
      <c r="B102" s="700" t="s">
        <v>72</v>
      </c>
      <c r="C102" s="701"/>
      <c r="D102" s="260">
        <f>D84+-D79</f>
        <v>0</v>
      </c>
      <c r="E102" s="114"/>
      <c r="F102" s="114"/>
      <c r="G102" s="114"/>
      <c r="H102" s="191"/>
    </row>
    <row r="103" spans="1:11" x14ac:dyDescent="0.25">
      <c r="A103" s="702" t="s">
        <v>70</v>
      </c>
      <c r="B103" s="700" t="s">
        <v>73</v>
      </c>
      <c r="C103" s="703"/>
      <c r="D103" s="261">
        <v>8.0000000000000002E-3</v>
      </c>
      <c r="E103" s="114"/>
      <c r="F103" s="114"/>
      <c r="G103" s="114"/>
      <c r="H103" s="191"/>
    </row>
    <row r="104" spans="1:11" ht="15.75" x14ac:dyDescent="0.25">
      <c r="A104" s="690" t="s">
        <v>74</v>
      </c>
      <c r="B104" s="691"/>
      <c r="C104" s="692"/>
      <c r="D104" s="254">
        <f>D102*D103</f>
        <v>0</v>
      </c>
      <c r="E104" s="114"/>
      <c r="F104" s="114"/>
      <c r="G104" s="114"/>
      <c r="H104" s="191"/>
    </row>
    <row r="105" spans="1:11" x14ac:dyDescent="0.25">
      <c r="A105" s="109"/>
      <c r="B105" s="439"/>
      <c r="C105" s="532"/>
      <c r="D105" s="751"/>
      <c r="E105" s="114"/>
      <c r="F105" s="114"/>
      <c r="G105" s="114"/>
      <c r="H105" s="191"/>
    </row>
    <row r="106" spans="1:11" ht="15.95" hidden="1" customHeight="1" x14ac:dyDescent="0.25">
      <c r="A106" s="695" t="s">
        <v>8</v>
      </c>
      <c r="B106" s="691"/>
      <c r="C106" s="692"/>
      <c r="D106" s="254"/>
      <c r="E106" s="114"/>
      <c r="F106" s="114"/>
      <c r="G106" s="114"/>
      <c r="H106" s="191"/>
    </row>
    <row r="107" spans="1:11" ht="15" hidden="1" customHeight="1" x14ac:dyDescent="0.25">
      <c r="A107" s="752" t="s">
        <v>157</v>
      </c>
      <c r="B107" s="3"/>
      <c r="C107" s="753"/>
      <c r="D107" s="32" t="s">
        <v>156</v>
      </c>
      <c r="E107" s="114"/>
      <c r="F107" s="114"/>
      <c r="G107" s="114"/>
      <c r="H107" s="191"/>
    </row>
    <row r="108" spans="1:11" ht="15" hidden="1" customHeight="1" x14ac:dyDescent="0.25">
      <c r="A108" s="754" t="str">
        <f>+A56</f>
        <v>Position 1</v>
      </c>
      <c r="B108" s="755"/>
      <c r="C108" s="756"/>
      <c r="D108" s="266">
        <f>+D56*E72</f>
        <v>0</v>
      </c>
      <c r="E108" s="114"/>
      <c r="F108" s="114"/>
      <c r="G108" s="114"/>
      <c r="H108" s="191"/>
    </row>
    <row r="109" spans="1:11" ht="15" hidden="1" customHeight="1" x14ac:dyDescent="0.25">
      <c r="A109" s="754" t="str">
        <f>+A57</f>
        <v>Position 2</v>
      </c>
      <c r="B109" s="755"/>
      <c r="C109" s="756"/>
      <c r="D109" s="266">
        <f>+D57*E72</f>
        <v>0</v>
      </c>
      <c r="E109" s="114"/>
      <c r="F109" s="114"/>
      <c r="G109" s="114"/>
      <c r="H109" s="191"/>
    </row>
    <row r="110" spans="1:11" ht="15" hidden="1" customHeight="1" x14ac:dyDescent="0.25">
      <c r="A110" s="754" t="str">
        <f>+A58</f>
        <v>Position 3</v>
      </c>
      <c r="B110" s="755"/>
      <c r="C110" s="757"/>
      <c r="D110" s="266">
        <f>+D58*E72</f>
        <v>0</v>
      </c>
      <c r="E110" s="114"/>
      <c r="F110" s="114"/>
      <c r="G110" s="114"/>
      <c r="H110" s="191"/>
    </row>
    <row r="111" spans="1:11" x14ac:dyDescent="0.25">
      <c r="A111" s="497" t="s">
        <v>9</v>
      </c>
      <c r="B111" s="758"/>
      <c r="C111" s="759"/>
      <c r="D111" s="267">
        <f>SUM(D108:D110)</f>
        <v>0</v>
      </c>
      <c r="E111" s="114"/>
      <c r="F111" s="114"/>
      <c r="G111" s="114"/>
      <c r="H111" s="191"/>
      <c r="J111" s="107" t="s">
        <v>5</v>
      </c>
      <c r="K111" s="160">
        <f>+D59*E72-D111</f>
        <v>0</v>
      </c>
    </row>
    <row r="112" spans="1:11" x14ac:dyDescent="0.25">
      <c r="A112" s="597"/>
      <c r="B112" s="528"/>
      <c r="C112" s="531"/>
      <c r="D112" s="760"/>
      <c r="E112" s="114"/>
      <c r="F112" s="114"/>
      <c r="G112" s="114"/>
      <c r="H112" s="191"/>
    </row>
    <row r="113" spans="1:11" x14ac:dyDescent="0.25">
      <c r="A113" s="13" t="s">
        <v>78</v>
      </c>
      <c r="B113" s="521"/>
      <c r="C113" s="761"/>
      <c r="D113" s="762" t="s">
        <v>156</v>
      </c>
      <c r="E113" s="114"/>
      <c r="F113" s="114"/>
      <c r="G113" s="114"/>
      <c r="H113" s="191"/>
    </row>
    <row r="114" spans="1:11" x14ac:dyDescent="0.25">
      <c r="A114" s="754" t="str">
        <f>+A62</f>
        <v>Position 1</v>
      </c>
      <c r="B114" s="755"/>
      <c r="C114" s="756"/>
      <c r="D114" s="266">
        <f>+D62*E72</f>
        <v>0</v>
      </c>
      <c r="E114" s="114"/>
      <c r="F114" s="114"/>
      <c r="G114" s="114"/>
      <c r="H114" s="191"/>
    </row>
    <row r="115" spans="1:11" x14ac:dyDescent="0.25">
      <c r="A115" s="754" t="str">
        <f>+A63</f>
        <v>Position 2</v>
      </c>
      <c r="B115" s="755"/>
      <c r="C115" s="756"/>
      <c r="D115" s="266">
        <f>+D63*E72</f>
        <v>0</v>
      </c>
      <c r="E115" s="114"/>
      <c r="F115" s="114"/>
      <c r="G115" s="114"/>
      <c r="H115" s="191"/>
    </row>
    <row r="116" spans="1:11" x14ac:dyDescent="0.25">
      <c r="A116" s="754" t="str">
        <f>+A64</f>
        <v>Position 3</v>
      </c>
      <c r="B116" s="755"/>
      <c r="C116" s="757"/>
      <c r="D116" s="266">
        <f>+D64*E72</f>
        <v>0</v>
      </c>
      <c r="E116" s="114"/>
      <c r="F116" s="114"/>
      <c r="G116" s="114"/>
      <c r="H116" s="191"/>
    </row>
    <row r="117" spans="1:11" x14ac:dyDescent="0.25">
      <c r="A117" s="497" t="s">
        <v>9</v>
      </c>
      <c r="B117" s="758"/>
      <c r="C117" s="759"/>
      <c r="D117" s="267">
        <f>SUM(D114:D116)</f>
        <v>0</v>
      </c>
      <c r="E117" s="114"/>
      <c r="F117" s="114"/>
      <c r="G117" s="114"/>
      <c r="H117" s="191"/>
      <c r="J117" s="107" t="s">
        <v>5</v>
      </c>
      <c r="K117" s="160">
        <f>+D65*E72-D117</f>
        <v>0</v>
      </c>
    </row>
    <row r="118" spans="1:11" x14ac:dyDescent="0.25">
      <c r="A118" s="109"/>
      <c r="B118" s="439"/>
      <c r="C118" s="532"/>
      <c r="D118" s="763"/>
      <c r="E118" s="114"/>
      <c r="F118" s="114"/>
      <c r="G118" s="114"/>
      <c r="H118" s="191"/>
    </row>
    <row r="119" spans="1:11" ht="15.75" x14ac:dyDescent="0.25">
      <c r="A119" s="695" t="s">
        <v>79</v>
      </c>
      <c r="B119" s="691"/>
      <c r="C119" s="692"/>
      <c r="D119" s="254">
        <f>D117+D111</f>
        <v>0</v>
      </c>
      <c r="E119" s="114"/>
      <c r="F119" s="114"/>
      <c r="G119" s="114"/>
      <c r="H119" s="191"/>
      <c r="J119" s="107" t="s">
        <v>5</v>
      </c>
      <c r="K119" s="160">
        <f>+D67*E72-D119</f>
        <v>0</v>
      </c>
    </row>
    <row r="120" spans="1:11" x14ac:dyDescent="0.25">
      <c r="A120" s="109"/>
      <c r="B120" s="439"/>
      <c r="C120" s="532"/>
      <c r="D120" s="751"/>
      <c r="E120" s="114"/>
      <c r="F120" s="114"/>
      <c r="G120" s="114"/>
      <c r="H120" s="191"/>
    </row>
    <row r="121" spans="1:11" x14ac:dyDescent="0.25">
      <c r="A121" s="109"/>
      <c r="B121" s="439"/>
      <c r="C121" s="532"/>
      <c r="D121" s="751"/>
      <c r="E121" s="114"/>
      <c r="F121" s="114"/>
      <c r="G121" s="114"/>
      <c r="H121" s="191"/>
    </row>
    <row r="122" spans="1:11" ht="15.75" x14ac:dyDescent="0.25">
      <c r="A122" s="695" t="s">
        <v>80</v>
      </c>
      <c r="B122" s="691"/>
      <c r="C122" s="692"/>
      <c r="D122" s="704"/>
      <c r="E122" s="114"/>
      <c r="F122" s="114"/>
      <c r="G122" s="114"/>
      <c r="H122" s="191"/>
    </row>
    <row r="123" spans="1:11" x14ac:dyDescent="0.25">
      <c r="A123" s="480" t="s">
        <v>63</v>
      </c>
      <c r="B123" s="32" t="s">
        <v>158</v>
      </c>
      <c r="C123" s="753"/>
      <c r="D123" s="764"/>
      <c r="E123" s="114"/>
      <c r="F123" s="114"/>
      <c r="G123" s="114"/>
      <c r="H123" s="224"/>
    </row>
    <row r="124" spans="1:11" x14ac:dyDescent="0.25">
      <c r="A124" s="765" t="str">
        <f>+A33</f>
        <v>Position 1</v>
      </c>
      <c r="B124" s="263">
        <f>+B33*E72</f>
        <v>0</v>
      </c>
      <c r="C124" s="766"/>
      <c r="D124" s="767"/>
      <c r="E124" s="114"/>
      <c r="F124" s="114"/>
      <c r="G124" s="114"/>
      <c r="H124" s="229"/>
    </row>
    <row r="125" spans="1:11" x14ac:dyDescent="0.25">
      <c r="A125" s="765" t="str">
        <f>+A34</f>
        <v>Position 2</v>
      </c>
      <c r="B125" s="263">
        <f>+B34*E72</f>
        <v>0</v>
      </c>
      <c r="C125" s="766"/>
      <c r="D125" s="767"/>
      <c r="E125" s="114"/>
      <c r="F125" s="114"/>
      <c r="G125" s="114"/>
      <c r="H125" s="191"/>
    </row>
    <row r="126" spans="1:11" x14ac:dyDescent="0.25">
      <c r="A126" s="765" t="str">
        <f>+A35</f>
        <v>Position 3</v>
      </c>
      <c r="B126" s="263">
        <f>+B35*E72</f>
        <v>0</v>
      </c>
      <c r="C126" s="768"/>
      <c r="D126" s="767"/>
      <c r="E126" s="114"/>
      <c r="F126" s="114"/>
      <c r="G126" s="114"/>
      <c r="H126" s="191"/>
    </row>
    <row r="127" spans="1:11" x14ac:dyDescent="0.25">
      <c r="A127" s="730" t="s">
        <v>63</v>
      </c>
      <c r="B127" s="262">
        <f>SUM(B124:B126)</f>
        <v>0</v>
      </c>
      <c r="C127" s="766"/>
      <c r="D127" s="767"/>
      <c r="E127" s="114"/>
      <c r="F127" s="114"/>
      <c r="G127" s="114"/>
      <c r="H127" s="191"/>
      <c r="J127" s="107" t="s">
        <v>5</v>
      </c>
      <c r="K127" s="160">
        <f>+B36*E72-B127</f>
        <v>0</v>
      </c>
    </row>
    <row r="128" spans="1:11" x14ac:dyDescent="0.25">
      <c r="A128" s="109"/>
      <c r="B128" s="769"/>
      <c r="C128" s="532"/>
      <c r="D128" s="726"/>
      <c r="E128" s="114"/>
      <c r="F128" s="114"/>
      <c r="G128" s="114"/>
      <c r="H128" s="191"/>
    </row>
    <row r="129" spans="1:11" x14ac:dyDescent="0.25">
      <c r="A129" s="480" t="s">
        <v>81</v>
      </c>
      <c r="B129" s="32" t="s">
        <v>158</v>
      </c>
      <c r="C129" s="705" t="s">
        <v>152</v>
      </c>
      <c r="D129" s="764"/>
      <c r="E129" s="114"/>
      <c r="F129" s="114"/>
      <c r="G129" s="114"/>
      <c r="H129" s="191"/>
    </row>
    <row r="130" spans="1:11" x14ac:dyDescent="0.25">
      <c r="A130" s="706" t="str">
        <f>+A39</f>
        <v>Kapitalmarktdarlehen 1</v>
      </c>
      <c r="B130" s="268">
        <f>+B39*E72</f>
        <v>0</v>
      </c>
      <c r="C130" s="264">
        <f>+C39</f>
        <v>0</v>
      </c>
      <c r="D130" s="266">
        <f>B130*C130</f>
        <v>0</v>
      </c>
      <c r="E130" s="114"/>
      <c r="F130" s="114"/>
      <c r="G130" s="114"/>
      <c r="H130" s="191"/>
    </row>
    <row r="131" spans="1:11" x14ac:dyDescent="0.25">
      <c r="A131" s="706" t="str">
        <f>+A40</f>
        <v>Kapitalmarktdarlehen 2</v>
      </c>
      <c r="B131" s="268">
        <f>+B40*E72</f>
        <v>0</v>
      </c>
      <c r="C131" s="264">
        <f>+C40</f>
        <v>0</v>
      </c>
      <c r="D131" s="266">
        <f>B131*C131</f>
        <v>0</v>
      </c>
      <c r="E131" s="114"/>
      <c r="F131" s="114"/>
      <c r="G131" s="114"/>
      <c r="H131" s="191"/>
    </row>
    <row r="132" spans="1:11" x14ac:dyDescent="0.25">
      <c r="A132" s="706" t="str">
        <f>+A41</f>
        <v>Grundstück</v>
      </c>
      <c r="B132" s="268">
        <f>+B41*E72</f>
        <v>0</v>
      </c>
      <c r="C132" s="264">
        <f>+C41</f>
        <v>0</v>
      </c>
      <c r="D132" s="266">
        <f>B132*C132</f>
        <v>0</v>
      </c>
      <c r="E132" s="114"/>
      <c r="F132" s="114"/>
      <c r="G132" s="114"/>
      <c r="H132" s="191"/>
    </row>
    <row r="133" spans="1:11" x14ac:dyDescent="0.25">
      <c r="A133" s="706" t="str">
        <f>+A42</f>
        <v>Position 4</v>
      </c>
      <c r="B133" s="268">
        <f>+B42*E72</f>
        <v>0</v>
      </c>
      <c r="C133" s="264">
        <f>+C42</f>
        <v>0</v>
      </c>
      <c r="D133" s="266"/>
      <c r="E133" s="114"/>
      <c r="F133" s="114"/>
      <c r="G133" s="114"/>
      <c r="H133" s="191"/>
    </row>
    <row r="134" spans="1:11" x14ac:dyDescent="0.25">
      <c r="A134" s="730" t="s">
        <v>82</v>
      </c>
      <c r="B134" s="262">
        <f>SUM(B130:B133)</f>
        <v>0</v>
      </c>
      <c r="C134" s="265" t="e">
        <f>((B132*C132)+(B130*C130)+(B133*C133)+(B131*C131))/B134</f>
        <v>#DIV/0!</v>
      </c>
      <c r="D134" s="267">
        <f>SUM(D130:D133)</f>
        <v>0</v>
      </c>
      <c r="E134" s="114"/>
      <c r="F134" s="114"/>
      <c r="G134" s="114"/>
      <c r="H134" s="191"/>
      <c r="J134" s="107" t="s">
        <v>5</v>
      </c>
      <c r="K134" s="160">
        <f>+B43*E72-B134</f>
        <v>0</v>
      </c>
    </row>
    <row r="135" spans="1:11" x14ac:dyDescent="0.25">
      <c r="A135" s="109"/>
      <c r="B135" s="439"/>
      <c r="C135" s="532"/>
      <c r="D135" s="763"/>
      <c r="E135" s="114"/>
      <c r="F135" s="114"/>
      <c r="G135" s="114"/>
      <c r="H135" s="191"/>
    </row>
    <row r="136" spans="1:11" x14ac:dyDescent="0.25">
      <c r="A136" s="480" t="s">
        <v>83</v>
      </c>
      <c r="B136" s="32" t="s">
        <v>158</v>
      </c>
      <c r="C136" s="705" t="s">
        <v>152</v>
      </c>
      <c r="D136" s="770"/>
      <c r="E136" s="114"/>
      <c r="F136" s="114"/>
      <c r="G136" s="114"/>
      <c r="H136" s="191"/>
    </row>
    <row r="137" spans="1:11" x14ac:dyDescent="0.25">
      <c r="A137" s="707" t="str">
        <f>+A46</f>
        <v>Eigenmittel</v>
      </c>
      <c r="B137" s="268">
        <f>+D84-B127-B134-B138-B139-B140</f>
        <v>0</v>
      </c>
      <c r="C137" s="264">
        <f>+C46</f>
        <v>1.4999999999999999E-2</v>
      </c>
      <c r="D137" s="269">
        <f>B137*C137</f>
        <v>0</v>
      </c>
      <c r="E137" s="114"/>
      <c r="F137" s="114"/>
      <c r="G137" s="114"/>
      <c r="H137" s="191"/>
    </row>
    <row r="138" spans="1:11" x14ac:dyDescent="0.25">
      <c r="A138" s="707" t="str">
        <f>+A47</f>
        <v>EM-Ersatz (z.B. Aktion Mensch)</v>
      </c>
      <c r="B138" s="263">
        <f>+B47*E72</f>
        <v>0</v>
      </c>
      <c r="C138" s="264">
        <f>+C47</f>
        <v>0</v>
      </c>
      <c r="D138" s="269">
        <f>B138*C138</f>
        <v>0</v>
      </c>
      <c r="E138" s="114"/>
      <c r="F138" s="114"/>
      <c r="G138" s="114"/>
      <c r="H138" s="191"/>
    </row>
    <row r="139" spans="1:11" x14ac:dyDescent="0.25">
      <c r="A139" s="707" t="str">
        <f>+A48</f>
        <v>Position 3</v>
      </c>
      <c r="B139" s="263">
        <f>+B48*E72</f>
        <v>0</v>
      </c>
      <c r="C139" s="264">
        <f>+C48</f>
        <v>1.4999999999999999E-2</v>
      </c>
      <c r="D139" s="269">
        <f>B139*C139</f>
        <v>0</v>
      </c>
      <c r="E139" s="114"/>
      <c r="F139" s="114"/>
      <c r="G139" s="114"/>
      <c r="H139" s="191"/>
    </row>
    <row r="140" spans="1:11" x14ac:dyDescent="0.25">
      <c r="A140" s="707" t="str">
        <f>+A49</f>
        <v>Position 4</v>
      </c>
      <c r="B140" s="263">
        <f>+B49*E72</f>
        <v>0</v>
      </c>
      <c r="C140" s="264">
        <f>+C49</f>
        <v>1.4999999999999999E-2</v>
      </c>
      <c r="D140" s="269">
        <f>B140*C140</f>
        <v>0</v>
      </c>
      <c r="E140" s="114"/>
      <c r="F140" s="114"/>
      <c r="G140" s="114"/>
      <c r="H140" s="191"/>
    </row>
    <row r="141" spans="1:11" x14ac:dyDescent="0.25">
      <c r="A141" s="730" t="s">
        <v>84</v>
      </c>
      <c r="B141" s="262">
        <f>SUM(B137:B140)</f>
        <v>0</v>
      </c>
      <c r="C141" s="265" t="e">
        <f>((B139*C139)+(B137*C137)+(B140*C140)+(B138*C138))/B141</f>
        <v>#DIV/0!</v>
      </c>
      <c r="D141" s="270">
        <f>SUM(D137:D140)</f>
        <v>0</v>
      </c>
      <c r="E141" s="114"/>
      <c r="F141" s="114"/>
      <c r="G141" s="114"/>
      <c r="H141" s="191"/>
      <c r="J141" s="107" t="s">
        <v>5</v>
      </c>
      <c r="K141" s="160">
        <f>+B50*E72-B141</f>
        <v>0</v>
      </c>
    </row>
    <row r="142" spans="1:11" x14ac:dyDescent="0.25">
      <c r="A142" s="731"/>
      <c r="B142" s="732"/>
      <c r="C142" s="733"/>
      <c r="D142" s="734"/>
      <c r="E142" s="114"/>
      <c r="F142" s="114"/>
      <c r="G142" s="114"/>
      <c r="H142" s="191"/>
      <c r="J142" s="240"/>
    </row>
    <row r="143" spans="1:11" ht="15.75" x14ac:dyDescent="0.25">
      <c r="A143" s="690" t="s">
        <v>85</v>
      </c>
      <c r="B143" s="271">
        <f>+B127+B134+B141</f>
        <v>0</v>
      </c>
      <c r="C143" s="498"/>
      <c r="D143" s="247">
        <f>D141+D134</f>
        <v>0</v>
      </c>
      <c r="E143" s="241"/>
      <c r="F143" s="241"/>
      <c r="G143" s="114"/>
      <c r="H143" s="191"/>
      <c r="J143" s="107" t="s">
        <v>5</v>
      </c>
      <c r="K143" s="160">
        <f>+B143-D84</f>
        <v>0</v>
      </c>
    </row>
    <row r="144" spans="1:11" x14ac:dyDescent="0.25">
      <c r="A144" s="109"/>
      <c r="B144" s="439"/>
      <c r="C144" s="532"/>
      <c r="D144" s="751"/>
      <c r="E144" s="114"/>
      <c r="F144" s="114"/>
      <c r="G144" s="114"/>
      <c r="H144" s="191"/>
    </row>
    <row r="145" spans="1:11" ht="15.75" x14ac:dyDescent="0.25">
      <c r="A145" s="690" t="s">
        <v>10</v>
      </c>
      <c r="B145" s="271"/>
      <c r="C145" s="692"/>
      <c r="D145" s="704"/>
      <c r="E145" s="114"/>
      <c r="F145" s="114"/>
      <c r="G145" s="114"/>
      <c r="H145" s="191"/>
    </row>
    <row r="146" spans="1:11" x14ac:dyDescent="0.25">
      <c r="A146" s="483" t="s">
        <v>11</v>
      </c>
      <c r="B146" s="593"/>
      <c r="C146" s="593"/>
      <c r="D146" s="252">
        <f>+D94+D95+D96</f>
        <v>0</v>
      </c>
      <c r="E146" s="114"/>
      <c r="F146" s="114"/>
      <c r="G146" s="114"/>
      <c r="H146" s="191"/>
    </row>
    <row r="147" spans="1:11" x14ac:dyDescent="0.25">
      <c r="A147" s="484" t="s">
        <v>12</v>
      </c>
      <c r="B147" s="282"/>
      <c r="C147" s="282"/>
      <c r="D147" s="252">
        <f>+D98</f>
        <v>0</v>
      </c>
      <c r="E147" s="114"/>
      <c r="F147" s="114"/>
      <c r="G147" s="114"/>
      <c r="H147" s="191"/>
    </row>
    <row r="148" spans="1:11" x14ac:dyDescent="0.25">
      <c r="A148" s="484" t="s">
        <v>13</v>
      </c>
      <c r="B148" s="282"/>
      <c r="C148" s="282"/>
      <c r="D148" s="251">
        <f>+D104</f>
        <v>0</v>
      </c>
      <c r="E148" s="114"/>
      <c r="F148" s="114"/>
      <c r="G148" s="114"/>
      <c r="H148" s="191"/>
    </row>
    <row r="149" spans="1:11" x14ac:dyDescent="0.25">
      <c r="A149" s="484" t="s">
        <v>8</v>
      </c>
      <c r="B149" s="282"/>
      <c r="C149" s="282"/>
      <c r="D149" s="251">
        <f>+D119</f>
        <v>0</v>
      </c>
      <c r="E149" s="114"/>
      <c r="F149" s="114"/>
      <c r="G149" s="114"/>
      <c r="H149" s="191"/>
    </row>
    <row r="150" spans="1:11" x14ac:dyDescent="0.25">
      <c r="A150" s="484" t="s">
        <v>14</v>
      </c>
      <c r="B150" s="282"/>
      <c r="C150" s="282"/>
      <c r="D150" s="251">
        <f>+D143</f>
        <v>0</v>
      </c>
      <c r="E150" s="114"/>
      <c r="F150" s="114"/>
      <c r="G150" s="114"/>
      <c r="H150" s="191"/>
    </row>
    <row r="151" spans="1:11" x14ac:dyDescent="0.25">
      <c r="A151" s="688" t="s">
        <v>9</v>
      </c>
      <c r="B151" s="667"/>
      <c r="C151" s="667"/>
      <c r="D151" s="329">
        <f>SUM(D146:D150)</f>
        <v>0</v>
      </c>
      <c r="E151" s="114"/>
      <c r="F151" s="114"/>
      <c r="G151" s="114"/>
      <c r="H151" s="191"/>
      <c r="J151" s="78"/>
      <c r="K151" s="128"/>
    </row>
    <row r="152" spans="1:11" x14ac:dyDescent="0.25">
      <c r="A152" s="109"/>
      <c r="B152" s="439"/>
      <c r="C152" s="532"/>
      <c r="D152" s="726"/>
      <c r="E152" s="114"/>
      <c r="F152" s="114"/>
      <c r="G152" s="114"/>
      <c r="H152" s="191"/>
    </row>
    <row r="153" spans="1:11" x14ac:dyDescent="0.25">
      <c r="A153" s="273" t="s">
        <v>15</v>
      </c>
      <c r="B153" s="273">
        <v>365</v>
      </c>
      <c r="C153" s="532"/>
      <c r="D153" s="726"/>
      <c r="E153" s="114"/>
      <c r="F153" s="114"/>
      <c r="G153" s="114"/>
      <c r="H153" s="191"/>
    </row>
    <row r="154" spans="1:11" x14ac:dyDescent="0.25">
      <c r="A154" s="273" t="s">
        <v>140</v>
      </c>
      <c r="B154" s="273">
        <f>+Stammdaten!B7</f>
        <v>0</v>
      </c>
      <c r="C154" s="771"/>
      <c r="D154" s="726"/>
      <c r="E154" s="114"/>
      <c r="F154" s="114"/>
      <c r="G154" s="114"/>
      <c r="H154" s="191"/>
    </row>
    <row r="155" spans="1:11" x14ac:dyDescent="0.25">
      <c r="A155" s="273" t="s">
        <v>17</v>
      </c>
      <c r="B155" s="330">
        <f>+'B_1 Geb. Kaltmiete'!B110</f>
        <v>0.96499999999999997</v>
      </c>
      <c r="C155" s="532"/>
      <c r="D155" s="726"/>
      <c r="E155" s="114"/>
      <c r="F155" s="114"/>
      <c r="G155" s="114"/>
      <c r="H155" s="191"/>
    </row>
    <row r="156" spans="1:11" ht="45.75" thickBot="1" x14ac:dyDescent="0.3">
      <c r="A156" s="709" t="s">
        <v>18</v>
      </c>
      <c r="B156" s="331">
        <f>B155*B154*B153</f>
        <v>0</v>
      </c>
      <c r="C156" s="771"/>
      <c r="D156" s="726"/>
      <c r="E156" s="710" t="s">
        <v>20</v>
      </c>
      <c r="F156" s="710" t="s">
        <v>19</v>
      </c>
      <c r="G156" s="114"/>
      <c r="H156" s="191"/>
    </row>
    <row r="157" spans="1:11" ht="15.75" customHeight="1" thickTop="1" x14ac:dyDescent="0.25">
      <c r="A157" s="109"/>
      <c r="B157" s="439"/>
      <c r="C157" s="532"/>
      <c r="D157" s="726"/>
      <c r="E157" s="711"/>
      <c r="F157" s="711"/>
      <c r="G157" s="114"/>
      <c r="H157" s="191"/>
    </row>
    <row r="158" spans="1:11" ht="14.25" customHeight="1" x14ac:dyDescent="0.25">
      <c r="A158" s="690" t="s">
        <v>207</v>
      </c>
      <c r="B158" s="271"/>
      <c r="C158" s="692"/>
      <c r="D158" s="704"/>
      <c r="E158" s="332">
        <v>0</v>
      </c>
      <c r="F158" s="332">
        <v>1</v>
      </c>
      <c r="G158" s="114"/>
      <c r="H158" s="191"/>
    </row>
    <row r="159" spans="1:11" x14ac:dyDescent="0.25">
      <c r="A159" s="712" t="s">
        <v>11</v>
      </c>
      <c r="B159" s="713"/>
      <c r="C159" s="713"/>
      <c r="D159" s="333" t="e">
        <f>D146/$B$156</f>
        <v>#DIV/0!</v>
      </c>
      <c r="E159" s="772"/>
      <c r="F159" s="773"/>
      <c r="G159" s="114"/>
      <c r="H159" s="191"/>
    </row>
    <row r="160" spans="1:11" x14ac:dyDescent="0.25">
      <c r="A160" s="706" t="s">
        <v>12</v>
      </c>
      <c r="B160" s="714"/>
      <c r="C160" s="714"/>
      <c r="D160" s="276" t="e">
        <f>D147/$B$156</f>
        <v>#DIV/0!</v>
      </c>
      <c r="E160" s="774"/>
      <c r="F160" s="736"/>
      <c r="G160" s="114"/>
      <c r="H160" s="191"/>
    </row>
    <row r="161" spans="1:8" x14ac:dyDescent="0.25">
      <c r="A161" s="706" t="s">
        <v>13</v>
      </c>
      <c r="B161" s="714"/>
      <c r="C161" s="714"/>
      <c r="D161" s="276" t="e">
        <f>D148/$B$156</f>
        <v>#DIV/0!</v>
      </c>
      <c r="E161" s="774"/>
      <c r="F161" s="736"/>
      <c r="G161" s="114"/>
      <c r="H161" s="191"/>
    </row>
    <row r="162" spans="1:8" x14ac:dyDescent="0.25">
      <c r="A162" s="706" t="s">
        <v>8</v>
      </c>
      <c r="B162" s="714"/>
      <c r="C162" s="714"/>
      <c r="D162" s="276" t="e">
        <f>D149/$B$156</f>
        <v>#DIV/0!</v>
      </c>
      <c r="E162" s="774"/>
      <c r="F162" s="736"/>
      <c r="G162" s="114"/>
      <c r="H162" s="191"/>
    </row>
    <row r="163" spans="1:8" x14ac:dyDescent="0.25">
      <c r="A163" s="706" t="s">
        <v>14</v>
      </c>
      <c r="B163" s="714"/>
      <c r="C163" s="714"/>
      <c r="D163" s="276" t="e">
        <f>D150/$B$156</f>
        <v>#DIV/0!</v>
      </c>
      <c r="E163" s="774"/>
      <c r="F163" s="736"/>
      <c r="G163" s="114"/>
      <c r="H163" s="191"/>
    </row>
    <row r="164" spans="1:8" ht="15.75" x14ac:dyDescent="0.25">
      <c r="A164" s="715" t="s">
        <v>219</v>
      </c>
      <c r="B164" s="716"/>
      <c r="C164" s="717" t="s">
        <v>49</v>
      </c>
      <c r="D164" s="334" t="e">
        <f>SUM(D159:D163)</f>
        <v>#DIV/0!</v>
      </c>
      <c r="E164" s="473"/>
      <c r="F164" s="474"/>
      <c r="G164" s="114"/>
      <c r="H164" s="191"/>
    </row>
    <row r="165" spans="1:8" ht="15.75" x14ac:dyDescent="0.25">
      <c r="A165" s="715" t="s">
        <v>219</v>
      </c>
      <c r="B165" s="716"/>
      <c r="C165" s="717" t="s">
        <v>91</v>
      </c>
      <c r="D165" s="334" t="e">
        <f>+D164*365</f>
        <v>#DIV/0!</v>
      </c>
      <c r="E165" s="350"/>
      <c r="F165" s="775"/>
      <c r="G165" s="114"/>
      <c r="H165" s="191"/>
    </row>
    <row r="166" spans="1:8" ht="18.75" x14ac:dyDescent="0.3">
      <c r="A166" s="718" t="s">
        <v>220</v>
      </c>
      <c r="B166" s="719"/>
      <c r="C166" s="666" t="s">
        <v>90</v>
      </c>
      <c r="D166" s="279" t="e">
        <f>+D165/12</f>
        <v>#DIV/0!</v>
      </c>
      <c r="E166" s="279" t="e">
        <f>+D166*E158</f>
        <v>#DIV/0!</v>
      </c>
      <c r="F166" s="279" t="e">
        <f>+D166*F158</f>
        <v>#DIV/0!</v>
      </c>
      <c r="G166" s="242"/>
      <c r="H166" s="317"/>
    </row>
    <row r="167" spans="1:8" x14ac:dyDescent="0.25">
      <c r="A167" s="64"/>
      <c r="B167" s="114"/>
      <c r="C167" s="188"/>
      <c r="D167" s="188"/>
      <c r="E167" s="188"/>
      <c r="F167" s="188"/>
      <c r="G167" s="188"/>
      <c r="H167" s="114"/>
    </row>
  </sheetData>
  <sheetProtection algorithmName="SHA-512" hashValue="vfGFx3uQoVi/uS7DJmkMSUmMDYW0+kNnhO0elF2HtPMQ8S8zcXLeKYxkfa4q/fNcgqf07WqYcsK2mJbnObvXtA==" saltValue="wTnkdT8fAdIHp7946DJyzg==" spinCount="100000" sheet="1" objects="1" scenarios="1"/>
  <mergeCells count="2">
    <mergeCell ref="A4:H4"/>
    <mergeCell ref="A7:B7"/>
  </mergeCells>
  <conditionalFormatting sqref="K29">
    <cfRule type="expression" dxfId="64" priority="11">
      <formula>OR(K29&lt;-0.0009,K29&gt;0.0009)</formula>
    </cfRule>
  </conditionalFormatting>
  <conditionalFormatting sqref="K84">
    <cfRule type="expression" dxfId="63" priority="10">
      <formula>OR(K84&lt;-0.0009,K84&gt;0.0009)</formula>
    </cfRule>
  </conditionalFormatting>
  <conditionalFormatting sqref="K91">
    <cfRule type="expression" dxfId="62" priority="8">
      <formula>OR(K91&lt;-0.0009,K91&gt;0.0009)</formula>
    </cfRule>
  </conditionalFormatting>
  <conditionalFormatting sqref="K111">
    <cfRule type="expression" dxfId="61" priority="7">
      <formula>OR(K111&lt;-0.0009,K111&gt;0.0009)</formula>
    </cfRule>
  </conditionalFormatting>
  <conditionalFormatting sqref="K117">
    <cfRule type="expression" dxfId="60" priority="6">
      <formula>OR(K117&lt;-0.0009,K117&gt;0.0009)</formula>
    </cfRule>
  </conditionalFormatting>
  <conditionalFormatting sqref="K119">
    <cfRule type="expression" dxfId="59" priority="5">
      <formula>OR(K119&lt;-0.0009,K119&gt;0.0009)</formula>
    </cfRule>
  </conditionalFormatting>
  <conditionalFormatting sqref="K127">
    <cfRule type="expression" dxfId="58" priority="4">
      <formula>OR(K127&lt;-0.0009,K127&gt;0.0009)</formula>
    </cfRule>
  </conditionalFormatting>
  <conditionalFormatting sqref="K134">
    <cfRule type="expression" dxfId="57" priority="2">
      <formula>OR(K134&lt;-0.0009,K134&gt;0.0009)</formula>
    </cfRule>
  </conditionalFormatting>
  <conditionalFormatting sqref="K141">
    <cfRule type="expression" dxfId="56" priority="1">
      <formula>OR(K141&lt;-0.0009,K141&gt;0.0009)</formula>
    </cfRule>
  </conditionalFormatting>
  <conditionalFormatting sqref="K143">
    <cfRule type="expression" dxfId="55" priority="9">
      <formula>OR(K143&lt;-0.0009,K143&gt;0.0009)</formula>
    </cfRule>
  </conditionalFormatting>
  <conditionalFormatting sqref="K151">
    <cfRule type="expression" dxfId="54" priority="3">
      <formula>OR(K151&lt;-0.0009,K151&gt;0.0009)</formula>
    </cfRule>
  </conditionalFormatting>
  <pageMargins left="0.7" right="0.7" top="0.78740157499999996" bottom="0.78740157499999996" header="0.3" footer="0.3"/>
  <pageSetup paperSize="9" scale="60" fitToWidth="0" fitToHeight="0" orientation="portrait" r:id="rId1"/>
  <rowBreaks count="2" manualBreakCount="2">
    <brk id="67" max="7" man="1"/>
    <brk id="152" max="7" man="1"/>
  </rowBreaks>
  <colBreaks count="1" manualBreakCount="1">
    <brk id="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PSheet"/>
  <dimension ref="A1:I54"/>
  <sheetViews>
    <sheetView zoomScaleNormal="100" workbookViewId="0">
      <selection activeCell="A4" sqref="A4"/>
    </sheetView>
  </sheetViews>
  <sheetFormatPr baseColWidth="10" defaultRowHeight="15" x14ac:dyDescent="0.25"/>
  <cols>
    <col min="1" max="1" width="36.85546875" style="335" customWidth="1"/>
    <col min="2" max="2" width="14.85546875" style="335" customWidth="1"/>
    <col min="3" max="3" width="13.85546875" style="335" customWidth="1"/>
    <col min="4" max="6" width="15.7109375" style="335" customWidth="1"/>
    <col min="7" max="7" width="12.85546875" style="335" customWidth="1"/>
    <col min="8" max="8" width="16.140625" style="335" customWidth="1"/>
    <col min="9" max="9" width="11.42578125" style="113"/>
    <col min="10" max="243" width="11.42578125" style="335"/>
    <col min="244" max="244" width="35.7109375" style="335" customWidth="1"/>
    <col min="245" max="245" width="15.7109375" style="335" customWidth="1"/>
    <col min="246" max="248" width="0" style="335" hidden="1" customWidth="1"/>
    <col min="249" max="249" width="3.28515625" style="335" customWidth="1"/>
    <col min="250" max="252" width="15.7109375" style="335" customWidth="1"/>
    <col min="253" max="253" width="11.42578125" style="335"/>
    <col min="254" max="254" width="12.85546875" style="335" customWidth="1"/>
    <col min="255" max="255" width="11.42578125" style="335" customWidth="1"/>
    <col min="256" max="499" width="11.42578125" style="335"/>
    <col min="500" max="500" width="35.7109375" style="335" customWidth="1"/>
    <col min="501" max="501" width="15.7109375" style="335" customWidth="1"/>
    <col min="502" max="504" width="0" style="335" hidden="1" customWidth="1"/>
    <col min="505" max="505" width="3.28515625" style="335" customWidth="1"/>
    <col min="506" max="508" width="15.7109375" style="335" customWidth="1"/>
    <col min="509" max="509" width="11.42578125" style="335"/>
    <col min="510" max="510" width="12.85546875" style="335" customWidth="1"/>
    <col min="511" max="511" width="11.42578125" style="335" customWidth="1"/>
    <col min="512" max="755" width="11.42578125" style="335"/>
    <col min="756" max="756" width="35.7109375" style="335" customWidth="1"/>
    <col min="757" max="757" width="15.7109375" style="335" customWidth="1"/>
    <col min="758" max="760" width="0" style="335" hidden="1" customWidth="1"/>
    <col min="761" max="761" width="3.28515625" style="335" customWidth="1"/>
    <col min="762" max="764" width="15.7109375" style="335" customWidth="1"/>
    <col min="765" max="765" width="11.42578125" style="335"/>
    <col min="766" max="766" width="12.85546875" style="335" customWidth="1"/>
    <col min="767" max="767" width="11.42578125" style="335" customWidth="1"/>
    <col min="768" max="1011" width="11.42578125" style="335"/>
    <col min="1012" max="1012" width="35.7109375" style="335" customWidth="1"/>
    <col min="1013" max="1013" width="15.7109375" style="335" customWidth="1"/>
    <col min="1014" max="1016" width="0" style="335" hidden="1" customWidth="1"/>
    <col min="1017" max="1017" width="3.28515625" style="335" customWidth="1"/>
    <col min="1018" max="1020" width="15.7109375" style="335" customWidth="1"/>
    <col min="1021" max="1021" width="11.42578125" style="335"/>
    <col min="1022" max="1022" width="12.85546875" style="335" customWidth="1"/>
    <col min="1023" max="1023" width="11.42578125" style="335" customWidth="1"/>
    <col min="1024" max="1267" width="11.42578125" style="335"/>
    <col min="1268" max="1268" width="35.7109375" style="335" customWidth="1"/>
    <col min="1269" max="1269" width="15.7109375" style="335" customWidth="1"/>
    <col min="1270" max="1272" width="0" style="335" hidden="1" customWidth="1"/>
    <col min="1273" max="1273" width="3.28515625" style="335" customWidth="1"/>
    <col min="1274" max="1276" width="15.7109375" style="335" customWidth="1"/>
    <col min="1277" max="1277" width="11.42578125" style="335"/>
    <col min="1278" max="1278" width="12.85546875" style="335" customWidth="1"/>
    <col min="1279" max="1279" width="11.42578125" style="335" customWidth="1"/>
    <col min="1280" max="1523" width="11.42578125" style="335"/>
    <col min="1524" max="1524" width="35.7109375" style="335" customWidth="1"/>
    <col min="1525" max="1525" width="15.7109375" style="335" customWidth="1"/>
    <col min="1526" max="1528" width="0" style="335" hidden="1" customWidth="1"/>
    <col min="1529" max="1529" width="3.28515625" style="335" customWidth="1"/>
    <col min="1530" max="1532" width="15.7109375" style="335" customWidth="1"/>
    <col min="1533" max="1533" width="11.42578125" style="335"/>
    <col min="1534" max="1534" width="12.85546875" style="335" customWidth="1"/>
    <col min="1535" max="1535" width="11.42578125" style="335" customWidth="1"/>
    <col min="1536" max="1779" width="11.42578125" style="335"/>
    <col min="1780" max="1780" width="35.7109375" style="335" customWidth="1"/>
    <col min="1781" max="1781" width="15.7109375" style="335" customWidth="1"/>
    <col min="1782" max="1784" width="0" style="335" hidden="1" customWidth="1"/>
    <col min="1785" max="1785" width="3.28515625" style="335" customWidth="1"/>
    <col min="1786" max="1788" width="15.7109375" style="335" customWidth="1"/>
    <col min="1789" max="1789" width="11.42578125" style="335"/>
    <col min="1790" max="1790" width="12.85546875" style="335" customWidth="1"/>
    <col min="1791" max="1791" width="11.42578125" style="335" customWidth="1"/>
    <col min="1792" max="2035" width="11.42578125" style="335"/>
    <col min="2036" max="2036" width="35.7109375" style="335" customWidth="1"/>
    <col min="2037" max="2037" width="15.7109375" style="335" customWidth="1"/>
    <col min="2038" max="2040" width="0" style="335" hidden="1" customWidth="1"/>
    <col min="2041" max="2041" width="3.28515625" style="335" customWidth="1"/>
    <col min="2042" max="2044" width="15.7109375" style="335" customWidth="1"/>
    <col min="2045" max="2045" width="11.42578125" style="335"/>
    <col min="2046" max="2046" width="12.85546875" style="335" customWidth="1"/>
    <col min="2047" max="2047" width="11.42578125" style="335" customWidth="1"/>
    <col min="2048" max="2291" width="11.42578125" style="335"/>
    <col min="2292" max="2292" width="35.7109375" style="335" customWidth="1"/>
    <col min="2293" max="2293" width="15.7109375" style="335" customWidth="1"/>
    <col min="2294" max="2296" width="0" style="335" hidden="1" customWidth="1"/>
    <col min="2297" max="2297" width="3.28515625" style="335" customWidth="1"/>
    <col min="2298" max="2300" width="15.7109375" style="335" customWidth="1"/>
    <col min="2301" max="2301" width="11.42578125" style="335"/>
    <col min="2302" max="2302" width="12.85546875" style="335" customWidth="1"/>
    <col min="2303" max="2303" width="11.42578125" style="335" customWidth="1"/>
    <col min="2304" max="2547" width="11.42578125" style="335"/>
    <col min="2548" max="2548" width="35.7109375" style="335" customWidth="1"/>
    <col min="2549" max="2549" width="15.7109375" style="335" customWidth="1"/>
    <col min="2550" max="2552" width="0" style="335" hidden="1" customWidth="1"/>
    <col min="2553" max="2553" width="3.28515625" style="335" customWidth="1"/>
    <col min="2554" max="2556" width="15.7109375" style="335" customWidth="1"/>
    <col min="2557" max="2557" width="11.42578125" style="335"/>
    <col min="2558" max="2558" width="12.85546875" style="335" customWidth="1"/>
    <col min="2559" max="2559" width="11.42578125" style="335" customWidth="1"/>
    <col min="2560" max="2803" width="11.42578125" style="335"/>
    <col min="2804" max="2804" width="35.7109375" style="335" customWidth="1"/>
    <col min="2805" max="2805" width="15.7109375" style="335" customWidth="1"/>
    <col min="2806" max="2808" width="0" style="335" hidden="1" customWidth="1"/>
    <col min="2809" max="2809" width="3.28515625" style="335" customWidth="1"/>
    <col min="2810" max="2812" width="15.7109375" style="335" customWidth="1"/>
    <col min="2813" max="2813" width="11.42578125" style="335"/>
    <col min="2814" max="2814" width="12.85546875" style="335" customWidth="1"/>
    <col min="2815" max="2815" width="11.42578125" style="335" customWidth="1"/>
    <col min="2816" max="3059" width="11.42578125" style="335"/>
    <col min="3060" max="3060" width="35.7109375" style="335" customWidth="1"/>
    <col min="3061" max="3061" width="15.7109375" style="335" customWidth="1"/>
    <col min="3062" max="3064" width="0" style="335" hidden="1" customWidth="1"/>
    <col min="3065" max="3065" width="3.28515625" style="335" customWidth="1"/>
    <col min="3066" max="3068" width="15.7109375" style="335" customWidth="1"/>
    <col min="3069" max="3069" width="11.42578125" style="335"/>
    <col min="3070" max="3070" width="12.85546875" style="335" customWidth="1"/>
    <col min="3071" max="3071" width="11.42578125" style="335" customWidth="1"/>
    <col min="3072" max="3315" width="11.42578125" style="335"/>
    <col min="3316" max="3316" width="35.7109375" style="335" customWidth="1"/>
    <col min="3317" max="3317" width="15.7109375" style="335" customWidth="1"/>
    <col min="3318" max="3320" width="0" style="335" hidden="1" customWidth="1"/>
    <col min="3321" max="3321" width="3.28515625" style="335" customWidth="1"/>
    <col min="3322" max="3324" width="15.7109375" style="335" customWidth="1"/>
    <col min="3325" max="3325" width="11.42578125" style="335"/>
    <col min="3326" max="3326" width="12.85546875" style="335" customWidth="1"/>
    <col min="3327" max="3327" width="11.42578125" style="335" customWidth="1"/>
    <col min="3328" max="3571" width="11.42578125" style="335"/>
    <col min="3572" max="3572" width="35.7109375" style="335" customWidth="1"/>
    <col min="3573" max="3573" width="15.7109375" style="335" customWidth="1"/>
    <col min="3574" max="3576" width="0" style="335" hidden="1" customWidth="1"/>
    <col min="3577" max="3577" width="3.28515625" style="335" customWidth="1"/>
    <col min="3578" max="3580" width="15.7109375" style="335" customWidth="1"/>
    <col min="3581" max="3581" width="11.42578125" style="335"/>
    <col min="3582" max="3582" width="12.85546875" style="335" customWidth="1"/>
    <col min="3583" max="3583" width="11.42578125" style="335" customWidth="1"/>
    <col min="3584" max="3827" width="11.42578125" style="335"/>
    <col min="3828" max="3828" width="35.7109375" style="335" customWidth="1"/>
    <col min="3829" max="3829" width="15.7109375" style="335" customWidth="1"/>
    <col min="3830" max="3832" width="0" style="335" hidden="1" customWidth="1"/>
    <col min="3833" max="3833" width="3.28515625" style="335" customWidth="1"/>
    <col min="3834" max="3836" width="15.7109375" style="335" customWidth="1"/>
    <col min="3837" max="3837" width="11.42578125" style="335"/>
    <col min="3838" max="3838" width="12.85546875" style="335" customWidth="1"/>
    <col min="3839" max="3839" width="11.42578125" style="335" customWidth="1"/>
    <col min="3840" max="4083" width="11.42578125" style="335"/>
    <col min="4084" max="4084" width="35.7109375" style="335" customWidth="1"/>
    <col min="4085" max="4085" width="15.7109375" style="335" customWidth="1"/>
    <col min="4086" max="4088" width="0" style="335" hidden="1" customWidth="1"/>
    <col min="4089" max="4089" width="3.28515625" style="335" customWidth="1"/>
    <col min="4090" max="4092" width="15.7109375" style="335" customWidth="1"/>
    <col min="4093" max="4093" width="11.42578125" style="335"/>
    <col min="4094" max="4094" width="12.85546875" style="335" customWidth="1"/>
    <col min="4095" max="4095" width="11.42578125" style="335" customWidth="1"/>
    <col min="4096" max="4339" width="11.42578125" style="335"/>
    <col min="4340" max="4340" width="35.7109375" style="335" customWidth="1"/>
    <col min="4341" max="4341" width="15.7109375" style="335" customWidth="1"/>
    <col min="4342" max="4344" width="0" style="335" hidden="1" customWidth="1"/>
    <col min="4345" max="4345" width="3.28515625" style="335" customWidth="1"/>
    <col min="4346" max="4348" width="15.7109375" style="335" customWidth="1"/>
    <col min="4349" max="4349" width="11.42578125" style="335"/>
    <col min="4350" max="4350" width="12.85546875" style="335" customWidth="1"/>
    <col min="4351" max="4351" width="11.42578125" style="335" customWidth="1"/>
    <col min="4352" max="4595" width="11.42578125" style="335"/>
    <col min="4596" max="4596" width="35.7109375" style="335" customWidth="1"/>
    <col min="4597" max="4597" width="15.7109375" style="335" customWidth="1"/>
    <col min="4598" max="4600" width="0" style="335" hidden="1" customWidth="1"/>
    <col min="4601" max="4601" width="3.28515625" style="335" customWidth="1"/>
    <col min="4602" max="4604" width="15.7109375" style="335" customWidth="1"/>
    <col min="4605" max="4605" width="11.42578125" style="335"/>
    <col min="4606" max="4606" width="12.85546875" style="335" customWidth="1"/>
    <col min="4607" max="4607" width="11.42578125" style="335" customWidth="1"/>
    <col min="4608" max="4851" width="11.42578125" style="335"/>
    <col min="4852" max="4852" width="35.7109375" style="335" customWidth="1"/>
    <col min="4853" max="4853" width="15.7109375" style="335" customWidth="1"/>
    <col min="4854" max="4856" width="0" style="335" hidden="1" customWidth="1"/>
    <col min="4857" max="4857" width="3.28515625" style="335" customWidth="1"/>
    <col min="4858" max="4860" width="15.7109375" style="335" customWidth="1"/>
    <col min="4861" max="4861" width="11.42578125" style="335"/>
    <col min="4862" max="4862" width="12.85546875" style="335" customWidth="1"/>
    <col min="4863" max="4863" width="11.42578125" style="335" customWidth="1"/>
    <col min="4864" max="5107" width="11.42578125" style="335"/>
    <col min="5108" max="5108" width="35.7109375" style="335" customWidth="1"/>
    <col min="5109" max="5109" width="15.7109375" style="335" customWidth="1"/>
    <col min="5110" max="5112" width="0" style="335" hidden="1" customWidth="1"/>
    <col min="5113" max="5113" width="3.28515625" style="335" customWidth="1"/>
    <col min="5114" max="5116" width="15.7109375" style="335" customWidth="1"/>
    <col min="5117" max="5117" width="11.42578125" style="335"/>
    <col min="5118" max="5118" width="12.85546875" style="335" customWidth="1"/>
    <col min="5119" max="5119" width="11.42578125" style="335" customWidth="1"/>
    <col min="5120" max="5363" width="11.42578125" style="335"/>
    <col min="5364" max="5364" width="35.7109375" style="335" customWidth="1"/>
    <col min="5365" max="5365" width="15.7109375" style="335" customWidth="1"/>
    <col min="5366" max="5368" width="0" style="335" hidden="1" customWidth="1"/>
    <col min="5369" max="5369" width="3.28515625" style="335" customWidth="1"/>
    <col min="5370" max="5372" width="15.7109375" style="335" customWidth="1"/>
    <col min="5373" max="5373" width="11.42578125" style="335"/>
    <col min="5374" max="5374" width="12.85546875" style="335" customWidth="1"/>
    <col min="5375" max="5375" width="11.42578125" style="335" customWidth="1"/>
    <col min="5376" max="5619" width="11.42578125" style="335"/>
    <col min="5620" max="5620" width="35.7109375" style="335" customWidth="1"/>
    <col min="5621" max="5621" width="15.7109375" style="335" customWidth="1"/>
    <col min="5622" max="5624" width="0" style="335" hidden="1" customWidth="1"/>
    <col min="5625" max="5625" width="3.28515625" style="335" customWidth="1"/>
    <col min="5626" max="5628" width="15.7109375" style="335" customWidth="1"/>
    <col min="5629" max="5629" width="11.42578125" style="335"/>
    <col min="5630" max="5630" width="12.85546875" style="335" customWidth="1"/>
    <col min="5631" max="5631" width="11.42578125" style="335" customWidth="1"/>
    <col min="5632" max="5875" width="11.42578125" style="335"/>
    <col min="5876" max="5876" width="35.7109375" style="335" customWidth="1"/>
    <col min="5877" max="5877" width="15.7109375" style="335" customWidth="1"/>
    <col min="5878" max="5880" width="0" style="335" hidden="1" customWidth="1"/>
    <col min="5881" max="5881" width="3.28515625" style="335" customWidth="1"/>
    <col min="5882" max="5884" width="15.7109375" style="335" customWidth="1"/>
    <col min="5885" max="5885" width="11.42578125" style="335"/>
    <col min="5886" max="5886" width="12.85546875" style="335" customWidth="1"/>
    <col min="5887" max="5887" width="11.42578125" style="335" customWidth="1"/>
    <col min="5888" max="6131" width="11.42578125" style="335"/>
    <col min="6132" max="6132" width="35.7109375" style="335" customWidth="1"/>
    <col min="6133" max="6133" width="15.7109375" style="335" customWidth="1"/>
    <col min="6134" max="6136" width="0" style="335" hidden="1" customWidth="1"/>
    <col min="6137" max="6137" width="3.28515625" style="335" customWidth="1"/>
    <col min="6138" max="6140" width="15.7109375" style="335" customWidth="1"/>
    <col min="6141" max="6141" width="11.42578125" style="335"/>
    <col min="6142" max="6142" width="12.85546875" style="335" customWidth="1"/>
    <col min="6143" max="6143" width="11.42578125" style="335" customWidth="1"/>
    <col min="6144" max="6387" width="11.42578125" style="335"/>
    <col min="6388" max="6388" width="35.7109375" style="335" customWidth="1"/>
    <col min="6389" max="6389" width="15.7109375" style="335" customWidth="1"/>
    <col min="6390" max="6392" width="0" style="335" hidden="1" customWidth="1"/>
    <col min="6393" max="6393" width="3.28515625" style="335" customWidth="1"/>
    <col min="6394" max="6396" width="15.7109375" style="335" customWidth="1"/>
    <col min="6397" max="6397" width="11.42578125" style="335"/>
    <col min="6398" max="6398" width="12.85546875" style="335" customWidth="1"/>
    <col min="6399" max="6399" width="11.42578125" style="335" customWidth="1"/>
    <col min="6400" max="6643" width="11.42578125" style="335"/>
    <col min="6644" max="6644" width="35.7109375" style="335" customWidth="1"/>
    <col min="6645" max="6645" width="15.7109375" style="335" customWidth="1"/>
    <col min="6646" max="6648" width="0" style="335" hidden="1" customWidth="1"/>
    <col min="6649" max="6649" width="3.28515625" style="335" customWidth="1"/>
    <col min="6650" max="6652" width="15.7109375" style="335" customWidth="1"/>
    <col min="6653" max="6653" width="11.42578125" style="335"/>
    <col min="6654" max="6654" width="12.85546875" style="335" customWidth="1"/>
    <col min="6655" max="6655" width="11.42578125" style="335" customWidth="1"/>
    <col min="6656" max="6899" width="11.42578125" style="335"/>
    <col min="6900" max="6900" width="35.7109375" style="335" customWidth="1"/>
    <col min="6901" max="6901" width="15.7109375" style="335" customWidth="1"/>
    <col min="6902" max="6904" width="0" style="335" hidden="1" customWidth="1"/>
    <col min="6905" max="6905" width="3.28515625" style="335" customWidth="1"/>
    <col min="6906" max="6908" width="15.7109375" style="335" customWidth="1"/>
    <col min="6909" max="6909" width="11.42578125" style="335"/>
    <col min="6910" max="6910" width="12.85546875" style="335" customWidth="1"/>
    <col min="6911" max="6911" width="11.42578125" style="335" customWidth="1"/>
    <col min="6912" max="7155" width="11.42578125" style="335"/>
    <col min="7156" max="7156" width="35.7109375" style="335" customWidth="1"/>
    <col min="7157" max="7157" width="15.7109375" style="335" customWidth="1"/>
    <col min="7158" max="7160" width="0" style="335" hidden="1" customWidth="1"/>
    <col min="7161" max="7161" width="3.28515625" style="335" customWidth="1"/>
    <col min="7162" max="7164" width="15.7109375" style="335" customWidth="1"/>
    <col min="7165" max="7165" width="11.42578125" style="335"/>
    <col min="7166" max="7166" width="12.85546875" style="335" customWidth="1"/>
    <col min="7167" max="7167" width="11.42578125" style="335" customWidth="1"/>
    <col min="7168" max="7411" width="11.42578125" style="335"/>
    <col min="7412" max="7412" width="35.7109375" style="335" customWidth="1"/>
    <col min="7413" max="7413" width="15.7109375" style="335" customWidth="1"/>
    <col min="7414" max="7416" width="0" style="335" hidden="1" customWidth="1"/>
    <col min="7417" max="7417" width="3.28515625" style="335" customWidth="1"/>
    <col min="7418" max="7420" width="15.7109375" style="335" customWidth="1"/>
    <col min="7421" max="7421" width="11.42578125" style="335"/>
    <col min="7422" max="7422" width="12.85546875" style="335" customWidth="1"/>
    <col min="7423" max="7423" width="11.42578125" style="335" customWidth="1"/>
    <col min="7424" max="7667" width="11.42578125" style="335"/>
    <col min="7668" max="7668" width="35.7109375" style="335" customWidth="1"/>
    <col min="7669" max="7669" width="15.7109375" style="335" customWidth="1"/>
    <col min="7670" max="7672" width="0" style="335" hidden="1" customWidth="1"/>
    <col min="7673" max="7673" width="3.28515625" style="335" customWidth="1"/>
    <col min="7674" max="7676" width="15.7109375" style="335" customWidth="1"/>
    <col min="7677" max="7677" width="11.42578125" style="335"/>
    <col min="7678" max="7678" width="12.85546875" style="335" customWidth="1"/>
    <col min="7679" max="7679" width="11.42578125" style="335" customWidth="1"/>
    <col min="7680" max="7923" width="11.42578125" style="335"/>
    <col min="7924" max="7924" width="35.7109375" style="335" customWidth="1"/>
    <col min="7925" max="7925" width="15.7109375" style="335" customWidth="1"/>
    <col min="7926" max="7928" width="0" style="335" hidden="1" customWidth="1"/>
    <col min="7929" max="7929" width="3.28515625" style="335" customWidth="1"/>
    <col min="7930" max="7932" width="15.7109375" style="335" customWidth="1"/>
    <col min="7933" max="7933" width="11.42578125" style="335"/>
    <col min="7934" max="7934" width="12.85546875" style="335" customWidth="1"/>
    <col min="7935" max="7935" width="11.42578125" style="335" customWidth="1"/>
    <col min="7936" max="8179" width="11.42578125" style="335"/>
    <col min="8180" max="8180" width="35.7109375" style="335" customWidth="1"/>
    <col min="8181" max="8181" width="15.7109375" style="335" customWidth="1"/>
    <col min="8182" max="8184" width="0" style="335" hidden="1" customWidth="1"/>
    <col min="8185" max="8185" width="3.28515625" style="335" customWidth="1"/>
    <col min="8186" max="8188" width="15.7109375" style="335" customWidth="1"/>
    <col min="8189" max="8189" width="11.42578125" style="335"/>
    <col min="8190" max="8190" width="12.85546875" style="335" customWidth="1"/>
    <col min="8191" max="8191" width="11.42578125" style="335" customWidth="1"/>
    <col min="8192" max="8435" width="11.42578125" style="335"/>
    <col min="8436" max="8436" width="35.7109375" style="335" customWidth="1"/>
    <col min="8437" max="8437" width="15.7109375" style="335" customWidth="1"/>
    <col min="8438" max="8440" width="0" style="335" hidden="1" customWidth="1"/>
    <col min="8441" max="8441" width="3.28515625" style="335" customWidth="1"/>
    <col min="8442" max="8444" width="15.7109375" style="335" customWidth="1"/>
    <col min="8445" max="8445" width="11.42578125" style="335"/>
    <col min="8446" max="8446" width="12.85546875" style="335" customWidth="1"/>
    <col min="8447" max="8447" width="11.42578125" style="335" customWidth="1"/>
    <col min="8448" max="8691" width="11.42578125" style="335"/>
    <col min="8692" max="8692" width="35.7109375" style="335" customWidth="1"/>
    <col min="8693" max="8693" width="15.7109375" style="335" customWidth="1"/>
    <col min="8694" max="8696" width="0" style="335" hidden="1" customWidth="1"/>
    <col min="8697" max="8697" width="3.28515625" style="335" customWidth="1"/>
    <col min="8698" max="8700" width="15.7109375" style="335" customWidth="1"/>
    <col min="8701" max="8701" width="11.42578125" style="335"/>
    <col min="8702" max="8702" width="12.85546875" style="335" customWidth="1"/>
    <col min="8703" max="8703" width="11.42578125" style="335" customWidth="1"/>
    <col min="8704" max="8947" width="11.42578125" style="335"/>
    <col min="8948" max="8948" width="35.7109375" style="335" customWidth="1"/>
    <col min="8949" max="8949" width="15.7109375" style="335" customWidth="1"/>
    <col min="8950" max="8952" width="0" style="335" hidden="1" customWidth="1"/>
    <col min="8953" max="8953" width="3.28515625" style="335" customWidth="1"/>
    <col min="8954" max="8956" width="15.7109375" style="335" customWidth="1"/>
    <col min="8957" max="8957" width="11.42578125" style="335"/>
    <col min="8958" max="8958" width="12.85546875" style="335" customWidth="1"/>
    <col min="8959" max="8959" width="11.42578125" style="335" customWidth="1"/>
    <col min="8960" max="9203" width="11.42578125" style="335"/>
    <col min="9204" max="9204" width="35.7109375" style="335" customWidth="1"/>
    <col min="9205" max="9205" width="15.7109375" style="335" customWidth="1"/>
    <col min="9206" max="9208" width="0" style="335" hidden="1" customWidth="1"/>
    <col min="9209" max="9209" width="3.28515625" style="335" customWidth="1"/>
    <col min="9210" max="9212" width="15.7109375" style="335" customWidth="1"/>
    <col min="9213" max="9213" width="11.42578125" style="335"/>
    <col min="9214" max="9214" width="12.85546875" style="335" customWidth="1"/>
    <col min="9215" max="9215" width="11.42578125" style="335" customWidth="1"/>
    <col min="9216" max="9459" width="11.42578125" style="335"/>
    <col min="9460" max="9460" width="35.7109375" style="335" customWidth="1"/>
    <col min="9461" max="9461" width="15.7109375" style="335" customWidth="1"/>
    <col min="9462" max="9464" width="0" style="335" hidden="1" customWidth="1"/>
    <col min="9465" max="9465" width="3.28515625" style="335" customWidth="1"/>
    <col min="9466" max="9468" width="15.7109375" style="335" customWidth="1"/>
    <col min="9469" max="9469" width="11.42578125" style="335"/>
    <col min="9470" max="9470" width="12.85546875" style="335" customWidth="1"/>
    <col min="9471" max="9471" width="11.42578125" style="335" customWidth="1"/>
    <col min="9472" max="9715" width="11.42578125" style="335"/>
    <col min="9716" max="9716" width="35.7109375" style="335" customWidth="1"/>
    <col min="9717" max="9717" width="15.7109375" style="335" customWidth="1"/>
    <col min="9718" max="9720" width="0" style="335" hidden="1" customWidth="1"/>
    <col min="9721" max="9721" width="3.28515625" style="335" customWidth="1"/>
    <col min="9722" max="9724" width="15.7109375" style="335" customWidth="1"/>
    <col min="9725" max="9725" width="11.42578125" style="335"/>
    <col min="9726" max="9726" width="12.85546875" style="335" customWidth="1"/>
    <col min="9727" max="9727" width="11.42578125" style="335" customWidth="1"/>
    <col min="9728" max="9971" width="11.42578125" style="335"/>
    <col min="9972" max="9972" width="35.7109375" style="335" customWidth="1"/>
    <col min="9973" max="9973" width="15.7109375" style="335" customWidth="1"/>
    <col min="9974" max="9976" width="0" style="335" hidden="1" customWidth="1"/>
    <col min="9977" max="9977" width="3.28515625" style="335" customWidth="1"/>
    <col min="9978" max="9980" width="15.7109375" style="335" customWidth="1"/>
    <col min="9981" max="9981" width="11.42578125" style="335"/>
    <col min="9982" max="9982" width="12.85546875" style="335" customWidth="1"/>
    <col min="9983" max="9983" width="11.42578125" style="335" customWidth="1"/>
    <col min="9984" max="10227" width="11.42578125" style="335"/>
    <col min="10228" max="10228" width="35.7109375" style="335" customWidth="1"/>
    <col min="10229" max="10229" width="15.7109375" style="335" customWidth="1"/>
    <col min="10230" max="10232" width="0" style="335" hidden="1" customWidth="1"/>
    <col min="10233" max="10233" width="3.28515625" style="335" customWidth="1"/>
    <col min="10234" max="10236" width="15.7109375" style="335" customWidth="1"/>
    <col min="10237" max="10237" width="11.42578125" style="335"/>
    <col min="10238" max="10238" width="12.85546875" style="335" customWidth="1"/>
    <col min="10239" max="10239" width="11.42578125" style="335" customWidth="1"/>
    <col min="10240" max="10483" width="11.42578125" style="335"/>
    <col min="10484" max="10484" width="35.7109375" style="335" customWidth="1"/>
    <col min="10485" max="10485" width="15.7109375" style="335" customWidth="1"/>
    <col min="10486" max="10488" width="0" style="335" hidden="1" customWidth="1"/>
    <col min="10489" max="10489" width="3.28515625" style="335" customWidth="1"/>
    <col min="10490" max="10492" width="15.7109375" style="335" customWidth="1"/>
    <col min="10493" max="10493" width="11.42578125" style="335"/>
    <col min="10494" max="10494" width="12.85546875" style="335" customWidth="1"/>
    <col min="10495" max="10495" width="11.42578125" style="335" customWidth="1"/>
    <col min="10496" max="10739" width="11.42578125" style="335"/>
    <col min="10740" max="10740" width="35.7109375" style="335" customWidth="1"/>
    <col min="10741" max="10741" width="15.7109375" style="335" customWidth="1"/>
    <col min="10742" max="10744" width="0" style="335" hidden="1" customWidth="1"/>
    <col min="10745" max="10745" width="3.28515625" style="335" customWidth="1"/>
    <col min="10746" max="10748" width="15.7109375" style="335" customWidth="1"/>
    <col min="10749" max="10749" width="11.42578125" style="335"/>
    <col min="10750" max="10750" width="12.85546875" style="335" customWidth="1"/>
    <col min="10751" max="10751" width="11.42578125" style="335" customWidth="1"/>
    <col min="10752" max="10995" width="11.42578125" style="335"/>
    <col min="10996" max="10996" width="35.7109375" style="335" customWidth="1"/>
    <col min="10997" max="10997" width="15.7109375" style="335" customWidth="1"/>
    <col min="10998" max="11000" width="0" style="335" hidden="1" customWidth="1"/>
    <col min="11001" max="11001" width="3.28515625" style="335" customWidth="1"/>
    <col min="11002" max="11004" width="15.7109375" style="335" customWidth="1"/>
    <col min="11005" max="11005" width="11.42578125" style="335"/>
    <col min="11006" max="11006" width="12.85546875" style="335" customWidth="1"/>
    <col min="11007" max="11007" width="11.42578125" style="335" customWidth="1"/>
    <col min="11008" max="11251" width="11.42578125" style="335"/>
    <col min="11252" max="11252" width="35.7109375" style="335" customWidth="1"/>
    <col min="11253" max="11253" width="15.7109375" style="335" customWidth="1"/>
    <col min="11254" max="11256" width="0" style="335" hidden="1" customWidth="1"/>
    <col min="11257" max="11257" width="3.28515625" style="335" customWidth="1"/>
    <col min="11258" max="11260" width="15.7109375" style="335" customWidth="1"/>
    <col min="11261" max="11261" width="11.42578125" style="335"/>
    <col min="11262" max="11262" width="12.85546875" style="335" customWidth="1"/>
    <col min="11263" max="11263" width="11.42578125" style="335" customWidth="1"/>
    <col min="11264" max="11507" width="11.42578125" style="335"/>
    <col min="11508" max="11508" width="35.7109375" style="335" customWidth="1"/>
    <col min="11509" max="11509" width="15.7109375" style="335" customWidth="1"/>
    <col min="11510" max="11512" width="0" style="335" hidden="1" customWidth="1"/>
    <col min="11513" max="11513" width="3.28515625" style="335" customWidth="1"/>
    <col min="11514" max="11516" width="15.7109375" style="335" customWidth="1"/>
    <col min="11517" max="11517" width="11.42578125" style="335"/>
    <col min="11518" max="11518" width="12.85546875" style="335" customWidth="1"/>
    <col min="11519" max="11519" width="11.42578125" style="335" customWidth="1"/>
    <col min="11520" max="11763" width="11.42578125" style="335"/>
    <col min="11764" max="11764" width="35.7109375" style="335" customWidth="1"/>
    <col min="11765" max="11765" width="15.7109375" style="335" customWidth="1"/>
    <col min="11766" max="11768" width="0" style="335" hidden="1" customWidth="1"/>
    <col min="11769" max="11769" width="3.28515625" style="335" customWidth="1"/>
    <col min="11770" max="11772" width="15.7109375" style="335" customWidth="1"/>
    <col min="11773" max="11773" width="11.42578125" style="335"/>
    <col min="11774" max="11774" width="12.85546875" style="335" customWidth="1"/>
    <col min="11775" max="11775" width="11.42578125" style="335" customWidth="1"/>
    <col min="11776" max="12019" width="11.42578125" style="335"/>
    <col min="12020" max="12020" width="35.7109375" style="335" customWidth="1"/>
    <col min="12021" max="12021" width="15.7109375" style="335" customWidth="1"/>
    <col min="12022" max="12024" width="0" style="335" hidden="1" customWidth="1"/>
    <col min="12025" max="12025" width="3.28515625" style="335" customWidth="1"/>
    <col min="12026" max="12028" width="15.7109375" style="335" customWidth="1"/>
    <col min="12029" max="12029" width="11.42578125" style="335"/>
    <col min="12030" max="12030" width="12.85546875" style="335" customWidth="1"/>
    <col min="12031" max="12031" width="11.42578125" style="335" customWidth="1"/>
    <col min="12032" max="12275" width="11.42578125" style="335"/>
    <col min="12276" max="12276" width="35.7109375" style="335" customWidth="1"/>
    <col min="12277" max="12277" width="15.7109375" style="335" customWidth="1"/>
    <col min="12278" max="12280" width="0" style="335" hidden="1" customWidth="1"/>
    <col min="12281" max="12281" width="3.28515625" style="335" customWidth="1"/>
    <col min="12282" max="12284" width="15.7109375" style="335" customWidth="1"/>
    <col min="12285" max="12285" width="11.42578125" style="335"/>
    <col min="12286" max="12286" width="12.85546875" style="335" customWidth="1"/>
    <col min="12287" max="12287" width="11.42578125" style="335" customWidth="1"/>
    <col min="12288" max="12531" width="11.42578125" style="335"/>
    <col min="12532" max="12532" width="35.7109375" style="335" customWidth="1"/>
    <col min="12533" max="12533" width="15.7109375" style="335" customWidth="1"/>
    <col min="12534" max="12536" width="0" style="335" hidden="1" customWidth="1"/>
    <col min="12537" max="12537" width="3.28515625" style="335" customWidth="1"/>
    <col min="12538" max="12540" width="15.7109375" style="335" customWidth="1"/>
    <col min="12541" max="12541" width="11.42578125" style="335"/>
    <col min="12542" max="12542" width="12.85546875" style="335" customWidth="1"/>
    <col min="12543" max="12543" width="11.42578125" style="335" customWidth="1"/>
    <col min="12544" max="12787" width="11.42578125" style="335"/>
    <col min="12788" max="12788" width="35.7109375" style="335" customWidth="1"/>
    <col min="12789" max="12789" width="15.7109375" style="335" customWidth="1"/>
    <col min="12790" max="12792" width="0" style="335" hidden="1" customWidth="1"/>
    <col min="12793" max="12793" width="3.28515625" style="335" customWidth="1"/>
    <col min="12794" max="12796" width="15.7109375" style="335" customWidth="1"/>
    <col min="12797" max="12797" width="11.42578125" style="335"/>
    <col min="12798" max="12798" width="12.85546875" style="335" customWidth="1"/>
    <col min="12799" max="12799" width="11.42578125" style="335" customWidth="1"/>
    <col min="12800" max="13043" width="11.42578125" style="335"/>
    <col min="13044" max="13044" width="35.7109375" style="335" customWidth="1"/>
    <col min="13045" max="13045" width="15.7109375" style="335" customWidth="1"/>
    <col min="13046" max="13048" width="0" style="335" hidden="1" customWidth="1"/>
    <col min="13049" max="13049" width="3.28515625" style="335" customWidth="1"/>
    <col min="13050" max="13052" width="15.7109375" style="335" customWidth="1"/>
    <col min="13053" max="13053" width="11.42578125" style="335"/>
    <col min="13054" max="13054" width="12.85546875" style="335" customWidth="1"/>
    <col min="13055" max="13055" width="11.42578125" style="335" customWidth="1"/>
    <col min="13056" max="13299" width="11.42578125" style="335"/>
    <col min="13300" max="13300" width="35.7109375" style="335" customWidth="1"/>
    <col min="13301" max="13301" width="15.7109375" style="335" customWidth="1"/>
    <col min="13302" max="13304" width="0" style="335" hidden="1" customWidth="1"/>
    <col min="13305" max="13305" width="3.28515625" style="335" customWidth="1"/>
    <col min="13306" max="13308" width="15.7109375" style="335" customWidth="1"/>
    <col min="13309" max="13309" width="11.42578125" style="335"/>
    <col min="13310" max="13310" width="12.85546875" style="335" customWidth="1"/>
    <col min="13311" max="13311" width="11.42578125" style="335" customWidth="1"/>
    <col min="13312" max="13555" width="11.42578125" style="335"/>
    <col min="13556" max="13556" width="35.7109375" style="335" customWidth="1"/>
    <col min="13557" max="13557" width="15.7109375" style="335" customWidth="1"/>
    <col min="13558" max="13560" width="0" style="335" hidden="1" customWidth="1"/>
    <col min="13561" max="13561" width="3.28515625" style="335" customWidth="1"/>
    <col min="13562" max="13564" width="15.7109375" style="335" customWidth="1"/>
    <col min="13565" max="13565" width="11.42578125" style="335"/>
    <col min="13566" max="13566" width="12.85546875" style="335" customWidth="1"/>
    <col min="13567" max="13567" width="11.42578125" style="335" customWidth="1"/>
    <col min="13568" max="13811" width="11.42578125" style="335"/>
    <col min="13812" max="13812" width="35.7109375" style="335" customWidth="1"/>
    <col min="13813" max="13813" width="15.7109375" style="335" customWidth="1"/>
    <col min="13814" max="13816" width="0" style="335" hidden="1" customWidth="1"/>
    <col min="13817" max="13817" width="3.28515625" style="335" customWidth="1"/>
    <col min="13818" max="13820" width="15.7109375" style="335" customWidth="1"/>
    <col min="13821" max="13821" width="11.42578125" style="335"/>
    <col min="13822" max="13822" width="12.85546875" style="335" customWidth="1"/>
    <col min="13823" max="13823" width="11.42578125" style="335" customWidth="1"/>
    <col min="13824" max="14067" width="11.42578125" style="335"/>
    <col min="14068" max="14068" width="35.7109375" style="335" customWidth="1"/>
    <col min="14069" max="14069" width="15.7109375" style="335" customWidth="1"/>
    <col min="14070" max="14072" width="0" style="335" hidden="1" customWidth="1"/>
    <col min="14073" max="14073" width="3.28515625" style="335" customWidth="1"/>
    <col min="14074" max="14076" width="15.7109375" style="335" customWidth="1"/>
    <col min="14077" max="14077" width="11.42578125" style="335"/>
    <col min="14078" max="14078" width="12.85546875" style="335" customWidth="1"/>
    <col min="14079" max="14079" width="11.42578125" style="335" customWidth="1"/>
    <col min="14080" max="14323" width="11.42578125" style="335"/>
    <col min="14324" max="14324" width="35.7109375" style="335" customWidth="1"/>
    <col min="14325" max="14325" width="15.7109375" style="335" customWidth="1"/>
    <col min="14326" max="14328" width="0" style="335" hidden="1" customWidth="1"/>
    <col min="14329" max="14329" width="3.28515625" style="335" customWidth="1"/>
    <col min="14330" max="14332" width="15.7109375" style="335" customWidth="1"/>
    <col min="14333" max="14333" width="11.42578125" style="335"/>
    <col min="14334" max="14334" width="12.85546875" style="335" customWidth="1"/>
    <col min="14335" max="14335" width="11.42578125" style="335" customWidth="1"/>
    <col min="14336" max="14579" width="11.42578125" style="335"/>
    <col min="14580" max="14580" width="35.7109375" style="335" customWidth="1"/>
    <col min="14581" max="14581" width="15.7109375" style="335" customWidth="1"/>
    <col min="14582" max="14584" width="0" style="335" hidden="1" customWidth="1"/>
    <col min="14585" max="14585" width="3.28515625" style="335" customWidth="1"/>
    <col min="14586" max="14588" width="15.7109375" style="335" customWidth="1"/>
    <col min="14589" max="14589" width="11.42578125" style="335"/>
    <col min="14590" max="14590" width="12.85546875" style="335" customWidth="1"/>
    <col min="14591" max="14591" width="11.42578125" style="335" customWidth="1"/>
    <col min="14592" max="14835" width="11.42578125" style="335"/>
    <col min="14836" max="14836" width="35.7109375" style="335" customWidth="1"/>
    <col min="14837" max="14837" width="15.7109375" style="335" customWidth="1"/>
    <col min="14838" max="14840" width="0" style="335" hidden="1" customWidth="1"/>
    <col min="14841" max="14841" width="3.28515625" style="335" customWidth="1"/>
    <col min="14842" max="14844" width="15.7109375" style="335" customWidth="1"/>
    <col min="14845" max="14845" width="11.42578125" style="335"/>
    <col min="14846" max="14846" width="12.85546875" style="335" customWidth="1"/>
    <col min="14847" max="14847" width="11.42578125" style="335" customWidth="1"/>
    <col min="14848" max="15091" width="11.42578125" style="335"/>
    <col min="15092" max="15092" width="35.7109375" style="335" customWidth="1"/>
    <col min="15093" max="15093" width="15.7109375" style="335" customWidth="1"/>
    <col min="15094" max="15096" width="0" style="335" hidden="1" customWidth="1"/>
    <col min="15097" max="15097" width="3.28515625" style="335" customWidth="1"/>
    <col min="15098" max="15100" width="15.7109375" style="335" customWidth="1"/>
    <col min="15101" max="15101" width="11.42578125" style="335"/>
    <col min="15102" max="15102" width="12.85546875" style="335" customWidth="1"/>
    <col min="15103" max="15103" width="11.42578125" style="335" customWidth="1"/>
    <col min="15104" max="15347" width="11.42578125" style="335"/>
    <col min="15348" max="15348" width="35.7109375" style="335" customWidth="1"/>
    <col min="15349" max="15349" width="15.7109375" style="335" customWidth="1"/>
    <col min="15350" max="15352" width="0" style="335" hidden="1" customWidth="1"/>
    <col min="15353" max="15353" width="3.28515625" style="335" customWidth="1"/>
    <col min="15354" max="15356" width="15.7109375" style="335" customWidth="1"/>
    <col min="15357" max="15357" width="11.42578125" style="335"/>
    <col min="15358" max="15358" width="12.85546875" style="335" customWidth="1"/>
    <col min="15359" max="15359" width="11.42578125" style="335" customWidth="1"/>
    <col min="15360" max="15603" width="11.42578125" style="335"/>
    <col min="15604" max="15604" width="35.7109375" style="335" customWidth="1"/>
    <col min="15605" max="15605" width="15.7109375" style="335" customWidth="1"/>
    <col min="15606" max="15608" width="0" style="335" hidden="1" customWidth="1"/>
    <col min="15609" max="15609" width="3.28515625" style="335" customWidth="1"/>
    <col min="15610" max="15612" width="15.7109375" style="335" customWidth="1"/>
    <col min="15613" max="15613" width="11.42578125" style="335"/>
    <col min="15614" max="15614" width="12.85546875" style="335" customWidth="1"/>
    <col min="15615" max="15615" width="11.42578125" style="335" customWidth="1"/>
    <col min="15616" max="15859" width="11.42578125" style="335"/>
    <col min="15860" max="15860" width="35.7109375" style="335" customWidth="1"/>
    <col min="15861" max="15861" width="15.7109375" style="335" customWidth="1"/>
    <col min="15862" max="15864" width="0" style="335" hidden="1" customWidth="1"/>
    <col min="15865" max="15865" width="3.28515625" style="335" customWidth="1"/>
    <col min="15866" max="15868" width="15.7109375" style="335" customWidth="1"/>
    <col min="15869" max="15869" width="11.42578125" style="335"/>
    <col min="15870" max="15870" width="12.85546875" style="335" customWidth="1"/>
    <col min="15871" max="15871" width="11.42578125" style="335" customWidth="1"/>
    <col min="15872" max="16115" width="11.42578125" style="335"/>
    <col min="16116" max="16116" width="35.7109375" style="335" customWidth="1"/>
    <col min="16117" max="16117" width="15.7109375" style="335" customWidth="1"/>
    <col min="16118" max="16120" width="0" style="335" hidden="1" customWidth="1"/>
    <col min="16121" max="16121" width="3.28515625" style="335" customWidth="1"/>
    <col min="16122" max="16124" width="15.7109375" style="335" customWidth="1"/>
    <col min="16125" max="16125" width="11.42578125" style="335"/>
    <col min="16126" max="16126" width="12.85546875" style="335" customWidth="1"/>
    <col min="16127" max="16127" width="11.42578125" style="335" customWidth="1"/>
    <col min="16128" max="16377" width="11.42578125" style="335"/>
    <col min="16378" max="16384" width="11.42578125" style="335" customWidth="1"/>
  </cols>
  <sheetData>
    <row r="1" spans="1:7" ht="26.25" x14ac:dyDescent="0.4">
      <c r="A1" s="523" t="s">
        <v>287</v>
      </c>
      <c r="B1" s="555"/>
      <c r="C1" s="555"/>
      <c r="D1" s="555"/>
      <c r="E1" s="555"/>
      <c r="F1" s="556"/>
    </row>
    <row r="2" spans="1:7" ht="26.25" x14ac:dyDescent="0.4">
      <c r="A2" s="557" t="s">
        <v>141</v>
      </c>
      <c r="B2" s="558"/>
      <c r="C2" s="558"/>
      <c r="D2" s="559"/>
      <c r="E2" s="559"/>
      <c r="F2" s="525" t="str">
        <f>+Stammdaten!D2</f>
        <v>Version 2.0</v>
      </c>
    </row>
    <row r="3" spans="1:7" x14ac:dyDescent="0.25">
      <c r="A3" s="361">
        <f>+Stammdaten!B5</f>
        <v>0</v>
      </c>
      <c r="B3" s="282">
        <f>+Stammdaten!B3</f>
        <v>0</v>
      </c>
      <c r="C3" s="560"/>
      <c r="D3" s="526" t="s">
        <v>36</v>
      </c>
      <c r="E3" s="561"/>
      <c r="F3" s="527"/>
    </row>
    <row r="4" spans="1:7" ht="15.6" customHeight="1" thickBot="1" x14ac:dyDescent="0.4">
      <c r="A4" s="337"/>
      <c r="B4" s="336"/>
      <c r="C4" s="336"/>
      <c r="D4" s="336"/>
      <c r="E4" s="336"/>
      <c r="F4" s="338"/>
    </row>
    <row r="5" spans="1:7" ht="106.5" customHeight="1" thickBot="1" x14ac:dyDescent="0.3">
      <c r="A5" s="1043" t="s">
        <v>266</v>
      </c>
      <c r="B5" s="1025"/>
      <c r="C5" s="1025"/>
      <c r="D5" s="1025"/>
      <c r="E5" s="1025"/>
      <c r="F5" s="1026"/>
      <c r="G5" s="459"/>
    </row>
    <row r="6" spans="1:7" ht="36" customHeight="1" x14ac:dyDescent="0.25">
      <c r="A6" s="1044" t="s">
        <v>260</v>
      </c>
      <c r="B6" s="1045"/>
      <c r="C6" s="1046"/>
      <c r="D6" s="1006"/>
      <c r="E6" s="460" t="str">
        <f>+IF(D6="x","Anteil persönl.
Wohnfläche","")</f>
        <v/>
      </c>
      <c r="F6" s="461" t="str">
        <f>+IF(D6="x",'A Flächen'!E174,"")</f>
        <v/>
      </c>
      <c r="G6" s="369" t="str">
        <f>+IF(AND(D6="x",D8="x"),"Bitte wählen Sie ENTWEDER Kosten nur für Heimbereich ODER die Kosten für Gesamtgebäude inkl. freier Flächen!","")</f>
        <v/>
      </c>
    </row>
    <row r="7" spans="1:7" ht="30.6" customHeight="1" thickBot="1" x14ac:dyDescent="0.3">
      <c r="A7" s="435"/>
      <c r="B7" s="434"/>
      <c r="C7" s="933" t="s">
        <v>250</v>
      </c>
      <c r="D7" s="1013"/>
      <c r="E7" s="437" t="str">
        <f>+IF(D6="x","Anteil Fachleist.
Fläche","")</f>
        <v/>
      </c>
      <c r="F7" s="462" t="str">
        <f>+IF(D6="x",'A Flächen'!E175,"")</f>
        <v/>
      </c>
      <c r="G7" s="369" t="str">
        <f>+IF(AND(D6="",D8=""),"Bitte wählen Sie ENTWEDER Kosten nur Heimbereich ODER Kosten für Gesamtgebäude inkl. freier Flächen!","")</f>
        <v>Bitte wählen Sie ENTWEDER Kosten nur Heimbereich ODER Kosten für Gesamtgebäude inkl. freier Flächen!</v>
      </c>
    </row>
    <row r="8" spans="1:7" ht="38.1" customHeight="1" x14ac:dyDescent="0.25">
      <c r="A8" s="1044" t="s">
        <v>261</v>
      </c>
      <c r="B8" s="1045"/>
      <c r="C8" s="1046"/>
      <c r="D8" s="1006"/>
      <c r="E8" s="460" t="str">
        <f>+IF(D8="x","Anteil persönl.
Wohnfläche","")</f>
        <v/>
      </c>
      <c r="F8" s="461" t="str">
        <f>+IF(D8="x",'A Flächen'!E169,"")</f>
        <v/>
      </c>
      <c r="G8" s="449"/>
    </row>
    <row r="9" spans="1:7" ht="34.5" customHeight="1" thickBot="1" x14ac:dyDescent="0.3">
      <c r="A9" s="436"/>
      <c r="B9" s="434"/>
      <c r="C9" s="933" t="s">
        <v>251</v>
      </c>
      <c r="D9" s="1013"/>
      <c r="E9" s="437" t="str">
        <f>+IF(D8="x","Anteil Fachleist.
Fläche","")</f>
        <v/>
      </c>
      <c r="F9" s="462" t="str">
        <f>+IF(D8="x",'A Flächen'!E170,"")</f>
        <v/>
      </c>
      <c r="G9" s="449"/>
    </row>
    <row r="10" spans="1:7" ht="15" customHeight="1" thickBot="1" x14ac:dyDescent="0.4">
      <c r="A10" s="337"/>
      <c r="B10" s="336"/>
      <c r="C10" s="336"/>
      <c r="D10" s="336"/>
      <c r="E10" s="336"/>
      <c r="F10" s="338"/>
      <c r="G10" s="459"/>
    </row>
    <row r="11" spans="1:7" ht="15" customHeight="1" x14ac:dyDescent="0.25">
      <c r="A11" s="1010" t="s">
        <v>308</v>
      </c>
      <c r="B11" s="1011"/>
      <c r="C11" s="1006"/>
      <c r="D11" s="1047" t="s">
        <v>328</v>
      </c>
      <c r="E11" s="1048"/>
      <c r="F11" s="1049"/>
      <c r="G11" s="369" t="str">
        <f>+IF(AND(C11="",C13=""),"Bitte wählen Sie ENTWEDER Neuverhandlung ODER Indexierung","")</f>
        <v>Bitte wählen Sie ENTWEDER Neuverhandlung ODER Indexierung</v>
      </c>
    </row>
    <row r="12" spans="1:7" ht="27.95" customHeight="1" thickBot="1" x14ac:dyDescent="0.3">
      <c r="A12" s="434"/>
      <c r="B12" s="933" t="s">
        <v>306</v>
      </c>
      <c r="C12" s="1013"/>
      <c r="D12" s="1050"/>
      <c r="E12" s="1051"/>
      <c r="F12" s="1052"/>
      <c r="G12" s="459"/>
    </row>
    <row r="13" spans="1:7" x14ac:dyDescent="0.25">
      <c r="A13" s="1010" t="s">
        <v>305</v>
      </c>
      <c r="B13" s="1011"/>
      <c r="C13" s="1006"/>
      <c r="D13" s="1047" t="s">
        <v>329</v>
      </c>
      <c r="E13" s="1048"/>
      <c r="F13" s="1049"/>
      <c r="G13" s="369" t="str">
        <f>+IF(AND(C11="x",C13="x"),"Bitte wählen Sie ENTWEDER Neuverhandlung ODER Indexierung!","")</f>
        <v/>
      </c>
    </row>
    <row r="14" spans="1:7" ht="42.6" customHeight="1" thickBot="1" x14ac:dyDescent="0.3">
      <c r="A14" s="434"/>
      <c r="B14" s="933" t="s">
        <v>307</v>
      </c>
      <c r="C14" s="1013"/>
      <c r="D14" s="1050"/>
      <c r="E14" s="1051"/>
      <c r="F14" s="1052"/>
      <c r="G14" s="459"/>
    </row>
    <row r="15" spans="1:7" ht="15" customHeight="1" x14ac:dyDescent="0.35">
      <c r="A15" s="800"/>
      <c r="B15" s="559"/>
      <c r="C15" s="559"/>
      <c r="D15" s="559"/>
      <c r="E15" s="559"/>
      <c r="F15" s="620"/>
    </row>
    <row r="16" spans="1:7" ht="15" customHeight="1" x14ac:dyDescent="0.25">
      <c r="A16" s="497" t="s">
        <v>318</v>
      </c>
      <c r="B16" s="805"/>
      <c r="C16" s="805"/>
      <c r="D16" s="805"/>
      <c r="E16" s="805"/>
      <c r="F16" s="806"/>
      <c r="G16" s="369"/>
    </row>
    <row r="17" spans="1:9" s="799" customFormat="1" ht="15" customHeight="1" x14ac:dyDescent="0.25">
      <c r="A17" s="505" t="s">
        <v>321</v>
      </c>
      <c r="B17" s="577"/>
      <c r="C17" s="575"/>
      <c r="D17" s="804"/>
      <c r="E17" s="804"/>
      <c r="F17" s="807"/>
      <c r="G17" s="369"/>
      <c r="I17" s="113"/>
    </row>
    <row r="18" spans="1:9" s="799" customFormat="1" ht="15" customHeight="1" x14ac:dyDescent="0.25">
      <c r="A18" s="13"/>
      <c r="B18" s="814" t="s">
        <v>324</v>
      </c>
      <c r="C18" s="815"/>
      <c r="D18" s="813" t="str">
        <f>+IF(AND(C13="x",C18=""),"Achtung, Feld C18 muss befüllt werden!","")</f>
        <v/>
      </c>
      <c r="E18" s="804"/>
      <c r="F18" s="807"/>
      <c r="G18" s="369"/>
      <c r="I18" s="113"/>
    </row>
    <row r="19" spans="1:9" s="799" customFormat="1" ht="15" customHeight="1" x14ac:dyDescent="0.25">
      <c r="A19" s="816"/>
      <c r="B19" s="814" t="s">
        <v>325</v>
      </c>
      <c r="C19" s="815"/>
      <c r="D19" s="813" t="str">
        <f>+IF(AND(C13="x",C19=""),"Achtung, Feld C19 muss befüllt werden!",IF(C19-C18&gt;5,"ACHTUNG: Indexierung ist nur für einen Zeitraum von max. 5 Jahren möglich!",""))</f>
        <v/>
      </c>
      <c r="E19" s="575"/>
      <c r="F19" s="812"/>
      <c r="G19" s="369"/>
      <c r="I19" s="113"/>
    </row>
    <row r="20" spans="1:9" s="799" customFormat="1" ht="15" customHeight="1" x14ac:dyDescent="0.25">
      <c r="A20" s="811"/>
      <c r="B20" s="817" t="s">
        <v>312</v>
      </c>
      <c r="C20" s="818">
        <f>IF(C19&gt;C18,VLOOKUP(E20,'Anlage Inflationsraten'!I6:J35,2)-1,0)</f>
        <v>0</v>
      </c>
      <c r="D20" s="809" t="s">
        <v>317</v>
      </c>
      <c r="E20" s="803" t="str">
        <f>+C18&amp;C19</f>
        <v/>
      </c>
      <c r="F20" s="807"/>
      <c r="G20" s="369"/>
      <c r="I20" s="113"/>
    </row>
    <row r="21" spans="1:9" s="799" customFormat="1" ht="15" customHeight="1" x14ac:dyDescent="0.25">
      <c r="A21" s="399"/>
      <c r="B21" s="804"/>
      <c r="C21" s="840" t="str">
        <f>+IF(AND(C18&gt;=C19,C13="x"),"Achtung, falsche Jahreszahlen!","")</f>
        <v/>
      </c>
      <c r="D21" s="1053" t="s">
        <v>322</v>
      </c>
      <c r="E21" s="1054"/>
      <c r="F21" s="1055"/>
      <c r="G21" s="369"/>
      <c r="I21" s="113"/>
    </row>
    <row r="22" spans="1:9" s="799" customFormat="1" ht="15" customHeight="1" x14ac:dyDescent="0.25">
      <c r="A22" s="808"/>
      <c r="B22" s="810"/>
      <c r="C22" s="810"/>
      <c r="D22" s="1056"/>
      <c r="E22" s="1057"/>
      <c r="F22" s="1058"/>
      <c r="G22" s="369"/>
      <c r="I22" s="113"/>
    </row>
    <row r="23" spans="1:9" s="799" customFormat="1" ht="15" customHeight="1" thickBot="1" x14ac:dyDescent="0.3">
      <c r="A23" s="801"/>
      <c r="B23" s="575"/>
      <c r="C23" s="575"/>
      <c r="D23" s="575"/>
      <c r="E23" s="575"/>
      <c r="F23" s="575"/>
      <c r="G23" s="369"/>
      <c r="I23" s="113"/>
    </row>
    <row r="24" spans="1:9" ht="15" customHeight="1" thickBot="1" x14ac:dyDescent="0.4">
      <c r="A24" s="854"/>
      <c r="B24" s="848" t="str">
        <f>+IF(C11="x","Neuverhandlung",IF(C13="x","Indexierung",""))</f>
        <v/>
      </c>
      <c r="C24" s="855"/>
      <c r="D24" s="856"/>
      <c r="E24" s="856"/>
      <c r="F24" s="857"/>
    </row>
    <row r="25" spans="1:9" ht="30" customHeight="1" x14ac:dyDescent="0.25">
      <c r="A25" s="850" t="s">
        <v>93</v>
      </c>
      <c r="B25" s="837" t="str">
        <f>+IF(C11="x","umlegbare Nebenkosten",IF(C13="x","Werte letzte Verhandlung",""))</f>
        <v/>
      </c>
      <c r="C25" s="837" t="s">
        <v>320</v>
      </c>
      <c r="D25" s="851" t="s">
        <v>20</v>
      </c>
      <c r="E25" s="852" t="s">
        <v>159</v>
      </c>
      <c r="F25" s="853" t="s">
        <v>19</v>
      </c>
      <c r="I25" s="335"/>
    </row>
    <row r="26" spans="1:9" ht="15.75" customHeight="1" x14ac:dyDescent="0.25">
      <c r="A26" s="776"/>
      <c r="B26" s="838" t="str">
        <f>IF(C13="x",C18,"")</f>
        <v/>
      </c>
      <c r="C26" s="839" t="str">
        <f>IF(C13="x",C19,"")</f>
        <v/>
      </c>
      <c r="D26" s="777" t="s">
        <v>94</v>
      </c>
      <c r="E26" s="778" t="s">
        <v>160</v>
      </c>
      <c r="F26" s="569" t="s">
        <v>94</v>
      </c>
      <c r="I26" s="335"/>
    </row>
    <row r="27" spans="1:9" ht="15.75" thickBot="1" x14ac:dyDescent="0.3">
      <c r="A27" s="779" t="s">
        <v>149</v>
      </c>
      <c r="B27" s="802" t="s">
        <v>319</v>
      </c>
      <c r="C27" s="802" t="s">
        <v>319</v>
      </c>
      <c r="D27" s="356" t="e">
        <f>+IF(D8="x",'A Flächen'!E169,'A Flächen'!E174)</f>
        <v>#DIV/0!</v>
      </c>
      <c r="E27" s="780"/>
      <c r="F27" s="357" t="e">
        <f>+IF(D8="x",'A Flächen'!E170,'A Flächen'!E175)</f>
        <v>#DIV/0!</v>
      </c>
      <c r="I27" s="335"/>
    </row>
    <row r="28" spans="1:9" x14ac:dyDescent="0.25">
      <c r="A28" s="339" t="s">
        <v>37</v>
      </c>
      <c r="B28" s="340"/>
      <c r="C28" s="819" t="str">
        <f>+IF($C$11="x",B28,IF($C$13="x",B28*(1+$C$20),""))</f>
        <v/>
      </c>
      <c r="D28" s="350" t="e">
        <f>+C28*$D$27</f>
        <v>#VALUE!</v>
      </c>
      <c r="E28" s="351" t="e">
        <f>+D28/Stammdaten!$B$7/12</f>
        <v>#VALUE!</v>
      </c>
      <c r="F28" s="352" t="e">
        <f>+C28*$F$27</f>
        <v>#VALUE!</v>
      </c>
      <c r="I28" s="335"/>
    </row>
    <row r="29" spans="1:9" x14ac:dyDescent="0.25">
      <c r="A29" s="341" t="s">
        <v>38</v>
      </c>
      <c r="B29" s="196"/>
      <c r="C29" s="819" t="str">
        <f t="shared" ref="C29:C47" si="0">+IF($C$11="x",B29,IF($C$13="x",B29*(1+$C$20),""))</f>
        <v/>
      </c>
      <c r="D29" s="350" t="e">
        <f t="shared" ref="D29:D47" si="1">+C29*$D$27</f>
        <v>#VALUE!</v>
      </c>
      <c r="E29" s="351" t="e">
        <f>+D29/Stammdaten!$B$7/12</f>
        <v>#VALUE!</v>
      </c>
      <c r="F29" s="352" t="e">
        <f t="shared" ref="F29:F47" si="2">+C29*$F$27</f>
        <v>#VALUE!</v>
      </c>
      <c r="I29" s="335"/>
    </row>
    <row r="30" spans="1:9" x14ac:dyDescent="0.25">
      <c r="A30" s="341" t="s">
        <v>331</v>
      </c>
      <c r="B30" s="196"/>
      <c r="C30" s="819" t="str">
        <f t="shared" si="0"/>
        <v/>
      </c>
      <c r="D30" s="350" t="e">
        <f t="shared" si="1"/>
        <v>#VALUE!</v>
      </c>
      <c r="E30" s="351" t="e">
        <f>+D30/Stammdaten!$B$7/12</f>
        <v>#VALUE!</v>
      </c>
      <c r="F30" s="352" t="e">
        <f t="shared" si="2"/>
        <v>#VALUE!</v>
      </c>
      <c r="I30" s="335"/>
    </row>
    <row r="31" spans="1:9" x14ac:dyDescent="0.25">
      <c r="A31" s="341" t="s">
        <v>332</v>
      </c>
      <c r="B31" s="196"/>
      <c r="C31" s="819" t="str">
        <f t="shared" si="0"/>
        <v/>
      </c>
      <c r="D31" s="350" t="e">
        <f t="shared" si="1"/>
        <v>#VALUE!</v>
      </c>
      <c r="E31" s="351" t="e">
        <f>+D31/Stammdaten!$B$7/12</f>
        <v>#VALUE!</v>
      </c>
      <c r="F31" s="352" t="e">
        <f t="shared" si="2"/>
        <v>#VALUE!</v>
      </c>
      <c r="I31" s="335"/>
    </row>
    <row r="32" spans="1:9" x14ac:dyDescent="0.25">
      <c r="A32" s="341" t="s">
        <v>41</v>
      </c>
      <c r="B32" s="196"/>
      <c r="C32" s="819" t="str">
        <f t="shared" si="0"/>
        <v/>
      </c>
      <c r="D32" s="350" t="e">
        <f t="shared" si="1"/>
        <v>#VALUE!</v>
      </c>
      <c r="E32" s="351" t="e">
        <f>+D32/Stammdaten!$B$7/12</f>
        <v>#VALUE!</v>
      </c>
      <c r="F32" s="352" t="e">
        <f t="shared" si="2"/>
        <v>#VALUE!</v>
      </c>
      <c r="I32" s="335"/>
    </row>
    <row r="33" spans="1:9" x14ac:dyDescent="0.25">
      <c r="A33" s="341" t="s">
        <v>42</v>
      </c>
      <c r="B33" s="196"/>
      <c r="C33" s="819" t="str">
        <f t="shared" si="0"/>
        <v/>
      </c>
      <c r="D33" s="350" t="e">
        <f t="shared" si="1"/>
        <v>#VALUE!</v>
      </c>
      <c r="E33" s="351" t="e">
        <f>+D33/Stammdaten!$B$7/12</f>
        <v>#VALUE!</v>
      </c>
      <c r="F33" s="352" t="e">
        <f t="shared" si="2"/>
        <v>#VALUE!</v>
      </c>
      <c r="I33" s="335"/>
    </row>
    <row r="34" spans="1:9" x14ac:dyDescent="0.25">
      <c r="A34" s="341" t="s">
        <v>26</v>
      </c>
      <c r="B34" s="196"/>
      <c r="C34" s="819" t="str">
        <f t="shared" si="0"/>
        <v/>
      </c>
      <c r="D34" s="350" t="e">
        <f t="shared" si="1"/>
        <v>#VALUE!</v>
      </c>
      <c r="E34" s="351" t="e">
        <f>+D34/Stammdaten!$B$7/12</f>
        <v>#VALUE!</v>
      </c>
      <c r="F34" s="352" t="e">
        <f t="shared" si="2"/>
        <v>#VALUE!</v>
      </c>
      <c r="I34" s="335"/>
    </row>
    <row r="35" spans="1:9" x14ac:dyDescent="0.25">
      <c r="A35" s="341" t="s">
        <v>27</v>
      </c>
      <c r="B35" s="196"/>
      <c r="C35" s="819" t="str">
        <f t="shared" si="0"/>
        <v/>
      </c>
      <c r="D35" s="350" t="e">
        <f t="shared" si="1"/>
        <v>#VALUE!</v>
      </c>
      <c r="E35" s="351" t="e">
        <f>+D35/Stammdaten!$B$7/12</f>
        <v>#VALUE!</v>
      </c>
      <c r="F35" s="352" t="e">
        <f t="shared" si="2"/>
        <v>#VALUE!</v>
      </c>
      <c r="I35" s="335"/>
    </row>
    <row r="36" spans="1:9" x14ac:dyDescent="0.25">
      <c r="A36" s="341" t="s">
        <v>28</v>
      </c>
      <c r="B36" s="344"/>
      <c r="C36" s="819" t="str">
        <f t="shared" si="0"/>
        <v/>
      </c>
      <c r="D36" s="350" t="e">
        <f t="shared" si="1"/>
        <v>#VALUE!</v>
      </c>
      <c r="E36" s="351" t="e">
        <f>+D36/Stammdaten!$B$7/12</f>
        <v>#VALUE!</v>
      </c>
      <c r="F36" s="352" t="e">
        <f t="shared" si="2"/>
        <v>#VALUE!</v>
      </c>
      <c r="I36" s="335"/>
    </row>
    <row r="37" spans="1:9" x14ac:dyDescent="0.25">
      <c r="A37" s="341" t="s">
        <v>29</v>
      </c>
      <c r="B37" s="344"/>
      <c r="C37" s="819" t="str">
        <f t="shared" si="0"/>
        <v/>
      </c>
      <c r="D37" s="350" t="e">
        <f t="shared" si="1"/>
        <v>#VALUE!</v>
      </c>
      <c r="E37" s="351" t="e">
        <f>+D37/Stammdaten!$B$7/12</f>
        <v>#VALUE!</v>
      </c>
      <c r="F37" s="352" t="e">
        <f t="shared" si="2"/>
        <v>#VALUE!</v>
      </c>
    </row>
    <row r="38" spans="1:9" x14ac:dyDescent="0.25">
      <c r="A38" s="341" t="s">
        <v>30</v>
      </c>
      <c r="B38" s="344"/>
      <c r="C38" s="819" t="str">
        <f t="shared" si="0"/>
        <v/>
      </c>
      <c r="D38" s="350" t="e">
        <f t="shared" si="1"/>
        <v>#VALUE!</v>
      </c>
      <c r="E38" s="351" t="e">
        <f>+D38/Stammdaten!$B$7/12</f>
        <v>#VALUE!</v>
      </c>
      <c r="F38" s="352" t="e">
        <f t="shared" si="2"/>
        <v>#VALUE!</v>
      </c>
    </row>
    <row r="39" spans="1:9" x14ac:dyDescent="0.25">
      <c r="A39" s="341" t="s">
        <v>31</v>
      </c>
      <c r="B39" s="344"/>
      <c r="C39" s="819" t="str">
        <f t="shared" si="0"/>
        <v/>
      </c>
      <c r="D39" s="350" t="e">
        <f t="shared" si="1"/>
        <v>#VALUE!</v>
      </c>
      <c r="E39" s="351" t="e">
        <f>+D39/Stammdaten!$B$7/12</f>
        <v>#VALUE!</v>
      </c>
      <c r="F39" s="352" t="e">
        <f t="shared" si="2"/>
        <v>#VALUE!</v>
      </c>
    </row>
    <row r="40" spans="1:9" x14ac:dyDescent="0.25">
      <c r="A40" s="341" t="s">
        <v>32</v>
      </c>
      <c r="B40" s="344"/>
      <c r="C40" s="819" t="str">
        <f t="shared" si="0"/>
        <v/>
      </c>
      <c r="D40" s="350" t="e">
        <f t="shared" si="1"/>
        <v>#VALUE!</v>
      </c>
      <c r="E40" s="351" t="e">
        <f>+D40/Stammdaten!$B$7/12</f>
        <v>#VALUE!</v>
      </c>
      <c r="F40" s="352" t="e">
        <f t="shared" si="2"/>
        <v>#VALUE!</v>
      </c>
    </row>
    <row r="41" spans="1:9" x14ac:dyDescent="0.25">
      <c r="A41" s="341" t="s">
        <v>333</v>
      </c>
      <c r="B41" s="344"/>
      <c r="C41" s="819" t="str">
        <f t="shared" si="0"/>
        <v/>
      </c>
      <c r="D41" s="350" t="e">
        <f t="shared" si="1"/>
        <v>#VALUE!</v>
      </c>
      <c r="E41" s="351" t="e">
        <f>+D41/Stammdaten!$B$7/12</f>
        <v>#VALUE!</v>
      </c>
      <c r="F41" s="352" t="e">
        <f t="shared" si="2"/>
        <v>#VALUE!</v>
      </c>
    </row>
    <row r="42" spans="1:9" x14ac:dyDescent="0.25">
      <c r="A42" s="341" t="s">
        <v>35</v>
      </c>
      <c r="B42" s="344"/>
      <c r="C42" s="819" t="str">
        <f t="shared" si="0"/>
        <v/>
      </c>
      <c r="D42" s="350" t="e">
        <f t="shared" si="1"/>
        <v>#VALUE!</v>
      </c>
      <c r="E42" s="351" t="e">
        <f>+D42/Stammdaten!$B$7/12</f>
        <v>#VALUE!</v>
      </c>
      <c r="F42" s="352" t="e">
        <f t="shared" si="2"/>
        <v>#VALUE!</v>
      </c>
    </row>
    <row r="43" spans="1:9" ht="30" x14ac:dyDescent="0.25">
      <c r="A43" s="345" t="s">
        <v>44</v>
      </c>
      <c r="B43" s="344"/>
      <c r="C43" s="819" t="str">
        <f t="shared" si="0"/>
        <v/>
      </c>
      <c r="D43" s="350" t="e">
        <f t="shared" si="1"/>
        <v>#VALUE!</v>
      </c>
      <c r="E43" s="351" t="e">
        <f>+D43/Stammdaten!$B$7/12</f>
        <v>#VALUE!</v>
      </c>
      <c r="F43" s="352" t="e">
        <f t="shared" si="2"/>
        <v>#VALUE!</v>
      </c>
    </row>
    <row r="44" spans="1:9" x14ac:dyDescent="0.25">
      <c r="A44" s="797" t="s">
        <v>142</v>
      </c>
      <c r="B44" s="344"/>
      <c r="C44" s="819" t="str">
        <f t="shared" si="0"/>
        <v/>
      </c>
      <c r="D44" s="350" t="e">
        <f>+C44*$D$27</f>
        <v>#VALUE!</v>
      </c>
      <c r="E44" s="351" t="e">
        <f>+D44/Stammdaten!$B$7/12</f>
        <v>#VALUE!</v>
      </c>
      <c r="F44" s="352" t="e">
        <f>+C44*$F$27</f>
        <v>#VALUE!</v>
      </c>
    </row>
    <row r="45" spans="1:9" x14ac:dyDescent="0.25">
      <c r="A45" s="346" t="s">
        <v>43</v>
      </c>
      <c r="B45" s="344"/>
      <c r="C45" s="819" t="str">
        <f t="shared" si="0"/>
        <v/>
      </c>
      <c r="D45" s="350" t="e">
        <f t="shared" si="1"/>
        <v>#VALUE!</v>
      </c>
      <c r="E45" s="351" t="e">
        <f>+D45/Stammdaten!$B$7/12</f>
        <v>#VALUE!</v>
      </c>
      <c r="F45" s="352" t="e">
        <f t="shared" si="2"/>
        <v>#VALUE!</v>
      </c>
    </row>
    <row r="46" spans="1:9" x14ac:dyDescent="0.25">
      <c r="A46" s="478" t="s">
        <v>150</v>
      </c>
      <c r="B46" s="479"/>
      <c r="C46" s="819" t="str">
        <f t="shared" si="0"/>
        <v/>
      </c>
      <c r="D46" s="350" t="e">
        <f t="shared" si="1"/>
        <v>#VALUE!</v>
      </c>
      <c r="E46" s="351" t="e">
        <f>+D46/Stammdaten!$B$7/12</f>
        <v>#VALUE!</v>
      </c>
      <c r="F46" s="352" t="e">
        <f t="shared" si="2"/>
        <v>#VALUE!</v>
      </c>
    </row>
    <row r="47" spans="1:9" ht="15.75" thickBot="1" x14ac:dyDescent="0.3">
      <c r="A47" s="347"/>
      <c r="B47" s="348"/>
      <c r="C47" s="820" t="str">
        <f t="shared" si="0"/>
        <v/>
      </c>
      <c r="D47" s="353" t="e">
        <f t="shared" si="1"/>
        <v>#VALUE!</v>
      </c>
      <c r="E47" s="354" t="e">
        <f>+D47/Stammdaten!$B$7/12</f>
        <v>#VALUE!</v>
      </c>
      <c r="F47" s="355" t="e">
        <f t="shared" si="2"/>
        <v>#VALUE!</v>
      </c>
    </row>
    <row r="48" spans="1:9" x14ac:dyDescent="0.25">
      <c r="A48" s="781" t="s">
        <v>9</v>
      </c>
      <c r="B48" s="358">
        <f>+SUM(B28:B47)</f>
        <v>0</v>
      </c>
      <c r="C48" s="358">
        <f>+SUM(C28:C47)</f>
        <v>0</v>
      </c>
      <c r="D48" s="358" t="e">
        <f>+SUM(D28:D47)</f>
        <v>#VALUE!</v>
      </c>
      <c r="E48" s="358"/>
      <c r="F48" s="358" t="e">
        <f>+SUM(F28:F47)</f>
        <v>#VALUE!</v>
      </c>
      <c r="I48" s="349"/>
    </row>
    <row r="49" spans="1:9" x14ac:dyDescent="0.25">
      <c r="A49" s="596" t="s">
        <v>17</v>
      </c>
      <c r="B49" s="359">
        <f>+'B_1 Geb. Kaltmiete'!B110</f>
        <v>0.96499999999999997</v>
      </c>
      <c r="C49" s="821">
        <f>+'B_1 Geb. Kaltmiete'!B110</f>
        <v>0.96499999999999997</v>
      </c>
      <c r="D49" s="782"/>
      <c r="E49" s="783"/>
      <c r="F49" s="783"/>
      <c r="I49" s="349"/>
    </row>
    <row r="50" spans="1:9" x14ac:dyDescent="0.25">
      <c r="A50" s="579" t="s">
        <v>208</v>
      </c>
      <c r="B50" s="247" t="e">
        <f>+B48/B49/Stammdaten!B7</f>
        <v>#DIV/0!</v>
      </c>
      <c r="C50" s="247" t="e">
        <f>+C48/C49/Stammdaten!B7</f>
        <v>#DIV/0!</v>
      </c>
      <c r="D50" s="247" t="e">
        <f>+D48/B49/Stammdaten!B7</f>
        <v>#VALUE!</v>
      </c>
      <c r="E50" s="247"/>
      <c r="F50" s="247" t="e">
        <f>+F48/B49/Stammdaten!B7</f>
        <v>#VALUE!</v>
      </c>
      <c r="I50" s="335"/>
    </row>
    <row r="51" spans="1:9" ht="19.5" thickBot="1" x14ac:dyDescent="0.35">
      <c r="A51" s="879" t="s">
        <v>209</v>
      </c>
      <c r="B51" s="880" t="e">
        <f>+B50/12</f>
        <v>#DIV/0!</v>
      </c>
      <c r="C51" s="880" t="e">
        <f>+C50/12</f>
        <v>#DIV/0!</v>
      </c>
      <c r="D51" s="880" t="e">
        <f>+D50/12</f>
        <v>#VALUE!</v>
      </c>
      <c r="E51" s="880"/>
      <c r="F51" s="880" t="e">
        <f>+F50/12</f>
        <v>#VALUE!</v>
      </c>
      <c r="I51" s="335"/>
    </row>
    <row r="52" spans="1:9" ht="12.75" x14ac:dyDescent="0.2">
      <c r="C52" s="76"/>
      <c r="H52" s="360" t="s">
        <v>5</v>
      </c>
      <c r="I52" s="160" t="e">
        <f>(C51*Stammdaten!B7*12)*C49-C48</f>
        <v>#DIV/0!</v>
      </c>
    </row>
    <row r="53" spans="1:9" ht="15.75" thickBot="1" x14ac:dyDescent="0.3"/>
    <row r="54" spans="1:9" ht="45" customHeight="1" thickBot="1" x14ac:dyDescent="0.3">
      <c r="A54" s="1043" t="s">
        <v>282</v>
      </c>
      <c r="B54" s="1025"/>
      <c r="C54" s="1025"/>
      <c r="D54" s="1025"/>
      <c r="E54" s="1025"/>
      <c r="F54" s="1026"/>
    </row>
  </sheetData>
  <sheetProtection algorithmName="SHA-512" hashValue="xfyg3XvIAB8kObB0VDeG4ikyhFqbePt8NON9YrDX6DudaP6NCNGwjmDcJwwIzcOJDloQnyPtwRCStYVwYA2zOg==" saltValue="h1xNVwjvWgnkM5TGu8y53Q==" spinCount="100000" sheet="1" objects="1" scenarios="1"/>
  <dataConsolidate/>
  <mergeCells count="13">
    <mergeCell ref="A54:F54"/>
    <mergeCell ref="A5:F5"/>
    <mergeCell ref="D6:D7"/>
    <mergeCell ref="D8:D9"/>
    <mergeCell ref="A6:C6"/>
    <mergeCell ref="A8:C8"/>
    <mergeCell ref="A13:B13"/>
    <mergeCell ref="C13:C14"/>
    <mergeCell ref="D13:F14"/>
    <mergeCell ref="A11:B11"/>
    <mergeCell ref="C11:C12"/>
    <mergeCell ref="D11:F12"/>
    <mergeCell ref="D21:F22"/>
  </mergeCells>
  <conditionalFormatting sqref="C11:C12">
    <cfRule type="expression" dxfId="53" priority="10">
      <formula>$C$13="x"</formula>
    </cfRule>
  </conditionalFormatting>
  <conditionalFormatting sqref="C11:C14">
    <cfRule type="expression" dxfId="52" priority="7">
      <formula>AND($C$11="x",$C$13="x")</formula>
    </cfRule>
  </conditionalFormatting>
  <conditionalFormatting sqref="C13:C14">
    <cfRule type="expression" dxfId="51" priority="9">
      <formula>$C$11="x"</formula>
    </cfRule>
  </conditionalFormatting>
  <conditionalFormatting sqref="C18:C19">
    <cfRule type="expression" dxfId="50" priority="1">
      <formula>$C$13="x"</formula>
    </cfRule>
  </conditionalFormatting>
  <conditionalFormatting sqref="D6:D7">
    <cfRule type="expression" dxfId="49" priority="21">
      <formula>$D$8="x"</formula>
    </cfRule>
  </conditionalFormatting>
  <conditionalFormatting sqref="D6:D9">
    <cfRule type="expression" dxfId="48" priority="18">
      <formula>AND($D$6="x",$D$8="x")</formula>
    </cfRule>
  </conditionalFormatting>
  <conditionalFormatting sqref="D8:D9">
    <cfRule type="expression" dxfId="47" priority="19">
      <formula>$D$6="x"</formula>
    </cfRule>
  </conditionalFormatting>
  <conditionalFormatting sqref="I52">
    <cfRule type="expression" dxfId="46" priority="22">
      <formula>OR(I52&lt;-0.0009,I52&gt;0.0009)</formula>
    </cfRule>
  </conditionalFormatting>
  <dataValidations count="2">
    <dataValidation type="whole" operator="greaterThanOrEqual" allowBlank="1" showInputMessage="1" showErrorMessage="1" sqref="C18" xr:uid="{B83DA4E2-7334-46D8-9244-1D42044443A7}">
      <formula1>2022</formula1>
    </dataValidation>
    <dataValidation type="whole" operator="greaterThanOrEqual" allowBlank="1" showInputMessage="1" showErrorMessage="1" sqref="C19" xr:uid="{8F402C16-4195-490E-908D-87C87C548B69}">
      <formula1>2024</formula1>
    </dataValidation>
  </dataValidations>
  <pageMargins left="0.78740157499999996" right="0.78740157499999996" top="0.984251969" bottom="0.984251969" header="0.4921259845" footer="0.4921259845"/>
  <pageSetup paperSize="9" scale="69" fitToWidth="0"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3"/>
  <sheetViews>
    <sheetView zoomScaleNormal="100" workbookViewId="0">
      <selection activeCell="A5" sqref="A5"/>
    </sheetView>
  </sheetViews>
  <sheetFormatPr baseColWidth="10" defaultRowHeight="15" x14ac:dyDescent="0.25"/>
  <cols>
    <col min="1" max="1" width="35.7109375" style="335" customWidth="1"/>
    <col min="2" max="2" width="12.5703125" style="335" customWidth="1"/>
    <col min="3" max="3" width="13.85546875" style="335" customWidth="1"/>
    <col min="4" max="5" width="15.7109375" style="335" customWidth="1"/>
    <col min="6" max="6" width="13.85546875" style="60" customWidth="1"/>
    <col min="7" max="7" width="8.5703125" style="335" customWidth="1"/>
    <col min="8" max="8" width="8.28515625" style="335" customWidth="1"/>
    <col min="9" max="249" width="11.42578125" style="335"/>
    <col min="250" max="250" width="35.7109375" style="335" customWidth="1"/>
    <col min="251" max="251" width="15.7109375" style="335" customWidth="1"/>
    <col min="252" max="254" width="0" style="335" hidden="1" customWidth="1"/>
    <col min="255" max="255" width="3.28515625" style="335" customWidth="1"/>
    <col min="256" max="258" width="15.7109375" style="335" customWidth="1"/>
    <col min="259" max="259" width="11.42578125" style="335"/>
    <col min="260" max="260" width="12.85546875" style="335" customWidth="1"/>
    <col min="261" max="261" width="11.42578125" style="335" customWidth="1"/>
    <col min="262" max="505" width="11.42578125" style="335"/>
    <col min="506" max="506" width="35.7109375" style="335" customWidth="1"/>
    <col min="507" max="507" width="15.7109375" style="335" customWidth="1"/>
    <col min="508" max="510" width="0" style="335" hidden="1" customWidth="1"/>
    <col min="511" max="511" width="3.28515625" style="335" customWidth="1"/>
    <col min="512" max="514" width="15.7109375" style="335" customWidth="1"/>
    <col min="515" max="515" width="11.42578125" style="335"/>
    <col min="516" max="516" width="12.85546875" style="335" customWidth="1"/>
    <col min="517" max="517" width="11.42578125" style="335" customWidth="1"/>
    <col min="518" max="761" width="11.42578125" style="335"/>
    <col min="762" max="762" width="35.7109375" style="335" customWidth="1"/>
    <col min="763" max="763" width="15.7109375" style="335" customWidth="1"/>
    <col min="764" max="766" width="0" style="335" hidden="1" customWidth="1"/>
    <col min="767" max="767" width="3.28515625" style="335" customWidth="1"/>
    <col min="768" max="770" width="15.7109375" style="335" customWidth="1"/>
    <col min="771" max="771" width="11.42578125" style="335"/>
    <col min="772" max="772" width="12.85546875" style="335" customWidth="1"/>
    <col min="773" max="773" width="11.42578125" style="335" customWidth="1"/>
    <col min="774" max="1017" width="11.42578125" style="335"/>
    <col min="1018" max="1018" width="35.7109375" style="335" customWidth="1"/>
    <col min="1019" max="1019" width="15.7109375" style="335" customWidth="1"/>
    <col min="1020" max="1022" width="0" style="335" hidden="1" customWidth="1"/>
    <col min="1023" max="1023" width="3.28515625" style="335" customWidth="1"/>
    <col min="1024" max="1026" width="15.7109375" style="335" customWidth="1"/>
    <col min="1027" max="1027" width="11.42578125" style="335"/>
    <col min="1028" max="1028" width="12.85546875" style="335" customWidth="1"/>
    <col min="1029" max="1029" width="11.42578125" style="335" customWidth="1"/>
    <col min="1030" max="1273" width="11.42578125" style="335"/>
    <col min="1274" max="1274" width="35.7109375" style="335" customWidth="1"/>
    <col min="1275" max="1275" width="15.7109375" style="335" customWidth="1"/>
    <col min="1276" max="1278" width="0" style="335" hidden="1" customWidth="1"/>
    <col min="1279" max="1279" width="3.28515625" style="335" customWidth="1"/>
    <col min="1280" max="1282" width="15.7109375" style="335" customWidth="1"/>
    <col min="1283" max="1283" width="11.42578125" style="335"/>
    <col min="1284" max="1284" width="12.85546875" style="335" customWidth="1"/>
    <col min="1285" max="1285" width="11.42578125" style="335" customWidth="1"/>
    <col min="1286" max="1529" width="11.42578125" style="335"/>
    <col min="1530" max="1530" width="35.7109375" style="335" customWidth="1"/>
    <col min="1531" max="1531" width="15.7109375" style="335" customWidth="1"/>
    <col min="1532" max="1534" width="0" style="335" hidden="1" customWidth="1"/>
    <col min="1535" max="1535" width="3.28515625" style="335" customWidth="1"/>
    <col min="1536" max="1538" width="15.7109375" style="335" customWidth="1"/>
    <col min="1539" max="1539" width="11.42578125" style="335"/>
    <col min="1540" max="1540" width="12.85546875" style="335" customWidth="1"/>
    <col min="1541" max="1541" width="11.42578125" style="335" customWidth="1"/>
    <col min="1542" max="1785" width="11.42578125" style="335"/>
    <col min="1786" max="1786" width="35.7109375" style="335" customWidth="1"/>
    <col min="1787" max="1787" width="15.7109375" style="335" customWidth="1"/>
    <col min="1788" max="1790" width="0" style="335" hidden="1" customWidth="1"/>
    <col min="1791" max="1791" width="3.28515625" style="335" customWidth="1"/>
    <col min="1792" max="1794" width="15.7109375" style="335" customWidth="1"/>
    <col min="1795" max="1795" width="11.42578125" style="335"/>
    <col min="1796" max="1796" width="12.85546875" style="335" customWidth="1"/>
    <col min="1797" max="1797" width="11.42578125" style="335" customWidth="1"/>
    <col min="1798" max="2041" width="11.42578125" style="335"/>
    <col min="2042" max="2042" width="35.7109375" style="335" customWidth="1"/>
    <col min="2043" max="2043" width="15.7109375" style="335" customWidth="1"/>
    <col min="2044" max="2046" width="0" style="335" hidden="1" customWidth="1"/>
    <col min="2047" max="2047" width="3.28515625" style="335" customWidth="1"/>
    <col min="2048" max="2050" width="15.7109375" style="335" customWidth="1"/>
    <col min="2051" max="2051" width="11.42578125" style="335"/>
    <col min="2052" max="2052" width="12.85546875" style="335" customWidth="1"/>
    <col min="2053" max="2053" width="11.42578125" style="335" customWidth="1"/>
    <col min="2054" max="2297" width="11.42578125" style="335"/>
    <col min="2298" max="2298" width="35.7109375" style="335" customWidth="1"/>
    <col min="2299" max="2299" width="15.7109375" style="335" customWidth="1"/>
    <col min="2300" max="2302" width="0" style="335" hidden="1" customWidth="1"/>
    <col min="2303" max="2303" width="3.28515625" style="335" customWidth="1"/>
    <col min="2304" max="2306" width="15.7109375" style="335" customWidth="1"/>
    <col min="2307" max="2307" width="11.42578125" style="335"/>
    <col min="2308" max="2308" width="12.85546875" style="335" customWidth="1"/>
    <col min="2309" max="2309" width="11.42578125" style="335" customWidth="1"/>
    <col min="2310" max="2553" width="11.42578125" style="335"/>
    <col min="2554" max="2554" width="35.7109375" style="335" customWidth="1"/>
    <col min="2555" max="2555" width="15.7109375" style="335" customWidth="1"/>
    <col min="2556" max="2558" width="0" style="335" hidden="1" customWidth="1"/>
    <col min="2559" max="2559" width="3.28515625" style="335" customWidth="1"/>
    <col min="2560" max="2562" width="15.7109375" style="335" customWidth="1"/>
    <col min="2563" max="2563" width="11.42578125" style="335"/>
    <col min="2564" max="2564" width="12.85546875" style="335" customWidth="1"/>
    <col min="2565" max="2565" width="11.42578125" style="335" customWidth="1"/>
    <col min="2566" max="2809" width="11.42578125" style="335"/>
    <col min="2810" max="2810" width="35.7109375" style="335" customWidth="1"/>
    <col min="2811" max="2811" width="15.7109375" style="335" customWidth="1"/>
    <col min="2812" max="2814" width="0" style="335" hidden="1" customWidth="1"/>
    <col min="2815" max="2815" width="3.28515625" style="335" customWidth="1"/>
    <col min="2816" max="2818" width="15.7109375" style="335" customWidth="1"/>
    <col min="2819" max="2819" width="11.42578125" style="335"/>
    <col min="2820" max="2820" width="12.85546875" style="335" customWidth="1"/>
    <col min="2821" max="2821" width="11.42578125" style="335" customWidth="1"/>
    <col min="2822" max="3065" width="11.42578125" style="335"/>
    <col min="3066" max="3066" width="35.7109375" style="335" customWidth="1"/>
    <col min="3067" max="3067" width="15.7109375" style="335" customWidth="1"/>
    <col min="3068" max="3070" width="0" style="335" hidden="1" customWidth="1"/>
    <col min="3071" max="3071" width="3.28515625" style="335" customWidth="1"/>
    <col min="3072" max="3074" width="15.7109375" style="335" customWidth="1"/>
    <col min="3075" max="3075" width="11.42578125" style="335"/>
    <col min="3076" max="3076" width="12.85546875" style="335" customWidth="1"/>
    <col min="3077" max="3077" width="11.42578125" style="335" customWidth="1"/>
    <col min="3078" max="3321" width="11.42578125" style="335"/>
    <col min="3322" max="3322" width="35.7109375" style="335" customWidth="1"/>
    <col min="3323" max="3323" width="15.7109375" style="335" customWidth="1"/>
    <col min="3324" max="3326" width="0" style="335" hidden="1" customWidth="1"/>
    <col min="3327" max="3327" width="3.28515625" style="335" customWidth="1"/>
    <col min="3328" max="3330" width="15.7109375" style="335" customWidth="1"/>
    <col min="3331" max="3331" width="11.42578125" style="335"/>
    <col min="3332" max="3332" width="12.85546875" style="335" customWidth="1"/>
    <col min="3333" max="3333" width="11.42578125" style="335" customWidth="1"/>
    <col min="3334" max="3577" width="11.42578125" style="335"/>
    <col min="3578" max="3578" width="35.7109375" style="335" customWidth="1"/>
    <col min="3579" max="3579" width="15.7109375" style="335" customWidth="1"/>
    <col min="3580" max="3582" width="0" style="335" hidden="1" customWidth="1"/>
    <col min="3583" max="3583" width="3.28515625" style="335" customWidth="1"/>
    <col min="3584" max="3586" width="15.7109375" style="335" customWidth="1"/>
    <col min="3587" max="3587" width="11.42578125" style="335"/>
    <col min="3588" max="3588" width="12.85546875" style="335" customWidth="1"/>
    <col min="3589" max="3589" width="11.42578125" style="335" customWidth="1"/>
    <col min="3590" max="3833" width="11.42578125" style="335"/>
    <col min="3834" max="3834" width="35.7109375" style="335" customWidth="1"/>
    <col min="3835" max="3835" width="15.7109375" style="335" customWidth="1"/>
    <col min="3836" max="3838" width="0" style="335" hidden="1" customWidth="1"/>
    <col min="3839" max="3839" width="3.28515625" style="335" customWidth="1"/>
    <col min="3840" max="3842" width="15.7109375" style="335" customWidth="1"/>
    <col min="3843" max="3843" width="11.42578125" style="335"/>
    <col min="3844" max="3844" width="12.85546875" style="335" customWidth="1"/>
    <col min="3845" max="3845" width="11.42578125" style="335" customWidth="1"/>
    <col min="3846" max="4089" width="11.42578125" style="335"/>
    <col min="4090" max="4090" width="35.7109375" style="335" customWidth="1"/>
    <col min="4091" max="4091" width="15.7109375" style="335" customWidth="1"/>
    <col min="4092" max="4094" width="0" style="335" hidden="1" customWidth="1"/>
    <col min="4095" max="4095" width="3.28515625" style="335" customWidth="1"/>
    <col min="4096" max="4098" width="15.7109375" style="335" customWidth="1"/>
    <col min="4099" max="4099" width="11.42578125" style="335"/>
    <col min="4100" max="4100" width="12.85546875" style="335" customWidth="1"/>
    <col min="4101" max="4101" width="11.42578125" style="335" customWidth="1"/>
    <col min="4102" max="4345" width="11.42578125" style="335"/>
    <col min="4346" max="4346" width="35.7109375" style="335" customWidth="1"/>
    <col min="4347" max="4347" width="15.7109375" style="335" customWidth="1"/>
    <col min="4348" max="4350" width="0" style="335" hidden="1" customWidth="1"/>
    <col min="4351" max="4351" width="3.28515625" style="335" customWidth="1"/>
    <col min="4352" max="4354" width="15.7109375" style="335" customWidth="1"/>
    <col min="4355" max="4355" width="11.42578125" style="335"/>
    <col min="4356" max="4356" width="12.85546875" style="335" customWidth="1"/>
    <col min="4357" max="4357" width="11.42578125" style="335" customWidth="1"/>
    <col min="4358" max="4601" width="11.42578125" style="335"/>
    <col min="4602" max="4602" width="35.7109375" style="335" customWidth="1"/>
    <col min="4603" max="4603" width="15.7109375" style="335" customWidth="1"/>
    <col min="4604" max="4606" width="0" style="335" hidden="1" customWidth="1"/>
    <col min="4607" max="4607" width="3.28515625" style="335" customWidth="1"/>
    <col min="4608" max="4610" width="15.7109375" style="335" customWidth="1"/>
    <col min="4611" max="4611" width="11.42578125" style="335"/>
    <col min="4612" max="4612" width="12.85546875" style="335" customWidth="1"/>
    <col min="4613" max="4613" width="11.42578125" style="335" customWidth="1"/>
    <col min="4614" max="4857" width="11.42578125" style="335"/>
    <col min="4858" max="4858" width="35.7109375" style="335" customWidth="1"/>
    <col min="4859" max="4859" width="15.7109375" style="335" customWidth="1"/>
    <col min="4860" max="4862" width="0" style="335" hidden="1" customWidth="1"/>
    <col min="4863" max="4863" width="3.28515625" style="335" customWidth="1"/>
    <col min="4864" max="4866" width="15.7109375" style="335" customWidth="1"/>
    <col min="4867" max="4867" width="11.42578125" style="335"/>
    <col min="4868" max="4868" width="12.85546875" style="335" customWidth="1"/>
    <col min="4869" max="4869" width="11.42578125" style="335" customWidth="1"/>
    <col min="4870" max="5113" width="11.42578125" style="335"/>
    <col min="5114" max="5114" width="35.7109375" style="335" customWidth="1"/>
    <col min="5115" max="5115" width="15.7109375" style="335" customWidth="1"/>
    <col min="5116" max="5118" width="0" style="335" hidden="1" customWidth="1"/>
    <col min="5119" max="5119" width="3.28515625" style="335" customWidth="1"/>
    <col min="5120" max="5122" width="15.7109375" style="335" customWidth="1"/>
    <col min="5123" max="5123" width="11.42578125" style="335"/>
    <col min="5124" max="5124" width="12.85546875" style="335" customWidth="1"/>
    <col min="5125" max="5125" width="11.42578125" style="335" customWidth="1"/>
    <col min="5126" max="5369" width="11.42578125" style="335"/>
    <col min="5370" max="5370" width="35.7109375" style="335" customWidth="1"/>
    <col min="5371" max="5371" width="15.7109375" style="335" customWidth="1"/>
    <col min="5372" max="5374" width="0" style="335" hidden="1" customWidth="1"/>
    <col min="5375" max="5375" width="3.28515625" style="335" customWidth="1"/>
    <col min="5376" max="5378" width="15.7109375" style="335" customWidth="1"/>
    <col min="5379" max="5379" width="11.42578125" style="335"/>
    <col min="5380" max="5380" width="12.85546875" style="335" customWidth="1"/>
    <col min="5381" max="5381" width="11.42578125" style="335" customWidth="1"/>
    <col min="5382" max="5625" width="11.42578125" style="335"/>
    <col min="5626" max="5626" width="35.7109375" style="335" customWidth="1"/>
    <col min="5627" max="5627" width="15.7109375" style="335" customWidth="1"/>
    <col min="5628" max="5630" width="0" style="335" hidden="1" customWidth="1"/>
    <col min="5631" max="5631" width="3.28515625" style="335" customWidth="1"/>
    <col min="5632" max="5634" width="15.7109375" style="335" customWidth="1"/>
    <col min="5635" max="5635" width="11.42578125" style="335"/>
    <col min="5636" max="5636" width="12.85546875" style="335" customWidth="1"/>
    <col min="5637" max="5637" width="11.42578125" style="335" customWidth="1"/>
    <col min="5638" max="5881" width="11.42578125" style="335"/>
    <col min="5882" max="5882" width="35.7109375" style="335" customWidth="1"/>
    <col min="5883" max="5883" width="15.7109375" style="335" customWidth="1"/>
    <col min="5884" max="5886" width="0" style="335" hidden="1" customWidth="1"/>
    <col min="5887" max="5887" width="3.28515625" style="335" customWidth="1"/>
    <col min="5888" max="5890" width="15.7109375" style="335" customWidth="1"/>
    <col min="5891" max="5891" width="11.42578125" style="335"/>
    <col min="5892" max="5892" width="12.85546875" style="335" customWidth="1"/>
    <col min="5893" max="5893" width="11.42578125" style="335" customWidth="1"/>
    <col min="5894" max="6137" width="11.42578125" style="335"/>
    <col min="6138" max="6138" width="35.7109375" style="335" customWidth="1"/>
    <col min="6139" max="6139" width="15.7109375" style="335" customWidth="1"/>
    <col min="6140" max="6142" width="0" style="335" hidden="1" customWidth="1"/>
    <col min="6143" max="6143" width="3.28515625" style="335" customWidth="1"/>
    <col min="6144" max="6146" width="15.7109375" style="335" customWidth="1"/>
    <col min="6147" max="6147" width="11.42578125" style="335"/>
    <col min="6148" max="6148" width="12.85546875" style="335" customWidth="1"/>
    <col min="6149" max="6149" width="11.42578125" style="335" customWidth="1"/>
    <col min="6150" max="6393" width="11.42578125" style="335"/>
    <col min="6394" max="6394" width="35.7109375" style="335" customWidth="1"/>
    <col min="6395" max="6395" width="15.7109375" style="335" customWidth="1"/>
    <col min="6396" max="6398" width="0" style="335" hidden="1" customWidth="1"/>
    <col min="6399" max="6399" width="3.28515625" style="335" customWidth="1"/>
    <col min="6400" max="6402" width="15.7109375" style="335" customWidth="1"/>
    <col min="6403" max="6403" width="11.42578125" style="335"/>
    <col min="6404" max="6404" width="12.85546875" style="335" customWidth="1"/>
    <col min="6405" max="6405" width="11.42578125" style="335" customWidth="1"/>
    <col min="6406" max="6649" width="11.42578125" style="335"/>
    <col min="6650" max="6650" width="35.7109375" style="335" customWidth="1"/>
    <col min="6651" max="6651" width="15.7109375" style="335" customWidth="1"/>
    <col min="6652" max="6654" width="0" style="335" hidden="1" customWidth="1"/>
    <col min="6655" max="6655" width="3.28515625" style="335" customWidth="1"/>
    <col min="6656" max="6658" width="15.7109375" style="335" customWidth="1"/>
    <col min="6659" max="6659" width="11.42578125" style="335"/>
    <col min="6660" max="6660" width="12.85546875" style="335" customWidth="1"/>
    <col min="6661" max="6661" width="11.42578125" style="335" customWidth="1"/>
    <col min="6662" max="6905" width="11.42578125" style="335"/>
    <col min="6906" max="6906" width="35.7109375" style="335" customWidth="1"/>
    <col min="6907" max="6907" width="15.7109375" style="335" customWidth="1"/>
    <col min="6908" max="6910" width="0" style="335" hidden="1" customWidth="1"/>
    <col min="6911" max="6911" width="3.28515625" style="335" customWidth="1"/>
    <col min="6912" max="6914" width="15.7109375" style="335" customWidth="1"/>
    <col min="6915" max="6915" width="11.42578125" style="335"/>
    <col min="6916" max="6916" width="12.85546875" style="335" customWidth="1"/>
    <col min="6917" max="6917" width="11.42578125" style="335" customWidth="1"/>
    <col min="6918" max="7161" width="11.42578125" style="335"/>
    <col min="7162" max="7162" width="35.7109375" style="335" customWidth="1"/>
    <col min="7163" max="7163" width="15.7109375" style="335" customWidth="1"/>
    <col min="7164" max="7166" width="0" style="335" hidden="1" customWidth="1"/>
    <col min="7167" max="7167" width="3.28515625" style="335" customWidth="1"/>
    <col min="7168" max="7170" width="15.7109375" style="335" customWidth="1"/>
    <col min="7171" max="7171" width="11.42578125" style="335"/>
    <col min="7172" max="7172" width="12.85546875" style="335" customWidth="1"/>
    <col min="7173" max="7173" width="11.42578125" style="335" customWidth="1"/>
    <col min="7174" max="7417" width="11.42578125" style="335"/>
    <col min="7418" max="7418" width="35.7109375" style="335" customWidth="1"/>
    <col min="7419" max="7419" width="15.7109375" style="335" customWidth="1"/>
    <col min="7420" max="7422" width="0" style="335" hidden="1" customWidth="1"/>
    <col min="7423" max="7423" width="3.28515625" style="335" customWidth="1"/>
    <col min="7424" max="7426" width="15.7109375" style="335" customWidth="1"/>
    <col min="7427" max="7427" width="11.42578125" style="335"/>
    <col min="7428" max="7428" width="12.85546875" style="335" customWidth="1"/>
    <col min="7429" max="7429" width="11.42578125" style="335" customWidth="1"/>
    <col min="7430" max="7673" width="11.42578125" style="335"/>
    <col min="7674" max="7674" width="35.7109375" style="335" customWidth="1"/>
    <col min="7675" max="7675" width="15.7109375" style="335" customWidth="1"/>
    <col min="7676" max="7678" width="0" style="335" hidden="1" customWidth="1"/>
    <col min="7679" max="7679" width="3.28515625" style="335" customWidth="1"/>
    <col min="7680" max="7682" width="15.7109375" style="335" customWidth="1"/>
    <col min="7683" max="7683" width="11.42578125" style="335"/>
    <col min="7684" max="7684" width="12.85546875" style="335" customWidth="1"/>
    <col min="7685" max="7685" width="11.42578125" style="335" customWidth="1"/>
    <col min="7686" max="7929" width="11.42578125" style="335"/>
    <col min="7930" max="7930" width="35.7109375" style="335" customWidth="1"/>
    <col min="7931" max="7931" width="15.7109375" style="335" customWidth="1"/>
    <col min="7932" max="7934" width="0" style="335" hidden="1" customWidth="1"/>
    <col min="7935" max="7935" width="3.28515625" style="335" customWidth="1"/>
    <col min="7936" max="7938" width="15.7109375" style="335" customWidth="1"/>
    <col min="7939" max="7939" width="11.42578125" style="335"/>
    <col min="7940" max="7940" width="12.85546875" style="335" customWidth="1"/>
    <col min="7941" max="7941" width="11.42578125" style="335" customWidth="1"/>
    <col min="7942" max="8185" width="11.42578125" style="335"/>
    <col min="8186" max="8186" width="35.7109375" style="335" customWidth="1"/>
    <col min="8187" max="8187" width="15.7109375" style="335" customWidth="1"/>
    <col min="8188" max="8190" width="0" style="335" hidden="1" customWidth="1"/>
    <col min="8191" max="8191" width="3.28515625" style="335" customWidth="1"/>
    <col min="8192" max="8194" width="15.7109375" style="335" customWidth="1"/>
    <col min="8195" max="8195" width="11.42578125" style="335"/>
    <col min="8196" max="8196" width="12.85546875" style="335" customWidth="1"/>
    <col min="8197" max="8197" width="11.42578125" style="335" customWidth="1"/>
    <col min="8198" max="8441" width="11.42578125" style="335"/>
    <col min="8442" max="8442" width="35.7109375" style="335" customWidth="1"/>
    <col min="8443" max="8443" width="15.7109375" style="335" customWidth="1"/>
    <col min="8444" max="8446" width="0" style="335" hidden="1" customWidth="1"/>
    <col min="8447" max="8447" width="3.28515625" style="335" customWidth="1"/>
    <col min="8448" max="8450" width="15.7109375" style="335" customWidth="1"/>
    <col min="8451" max="8451" width="11.42578125" style="335"/>
    <col min="8452" max="8452" width="12.85546875" style="335" customWidth="1"/>
    <col min="8453" max="8453" width="11.42578125" style="335" customWidth="1"/>
    <col min="8454" max="8697" width="11.42578125" style="335"/>
    <col min="8698" max="8698" width="35.7109375" style="335" customWidth="1"/>
    <col min="8699" max="8699" width="15.7109375" style="335" customWidth="1"/>
    <col min="8700" max="8702" width="0" style="335" hidden="1" customWidth="1"/>
    <col min="8703" max="8703" width="3.28515625" style="335" customWidth="1"/>
    <col min="8704" max="8706" width="15.7109375" style="335" customWidth="1"/>
    <col min="8707" max="8707" width="11.42578125" style="335"/>
    <col min="8708" max="8708" width="12.85546875" style="335" customWidth="1"/>
    <col min="8709" max="8709" width="11.42578125" style="335" customWidth="1"/>
    <col min="8710" max="8953" width="11.42578125" style="335"/>
    <col min="8954" max="8954" width="35.7109375" style="335" customWidth="1"/>
    <col min="8955" max="8955" width="15.7109375" style="335" customWidth="1"/>
    <col min="8956" max="8958" width="0" style="335" hidden="1" customWidth="1"/>
    <col min="8959" max="8959" width="3.28515625" style="335" customWidth="1"/>
    <col min="8960" max="8962" width="15.7109375" style="335" customWidth="1"/>
    <col min="8963" max="8963" width="11.42578125" style="335"/>
    <col min="8964" max="8964" width="12.85546875" style="335" customWidth="1"/>
    <col min="8965" max="8965" width="11.42578125" style="335" customWidth="1"/>
    <col min="8966" max="9209" width="11.42578125" style="335"/>
    <col min="9210" max="9210" width="35.7109375" style="335" customWidth="1"/>
    <col min="9211" max="9211" width="15.7109375" style="335" customWidth="1"/>
    <col min="9212" max="9214" width="0" style="335" hidden="1" customWidth="1"/>
    <col min="9215" max="9215" width="3.28515625" style="335" customWidth="1"/>
    <col min="9216" max="9218" width="15.7109375" style="335" customWidth="1"/>
    <col min="9219" max="9219" width="11.42578125" style="335"/>
    <col min="9220" max="9220" width="12.85546875" style="335" customWidth="1"/>
    <col min="9221" max="9221" width="11.42578125" style="335" customWidth="1"/>
    <col min="9222" max="9465" width="11.42578125" style="335"/>
    <col min="9466" max="9466" width="35.7109375" style="335" customWidth="1"/>
    <col min="9467" max="9467" width="15.7109375" style="335" customWidth="1"/>
    <col min="9468" max="9470" width="0" style="335" hidden="1" customWidth="1"/>
    <col min="9471" max="9471" width="3.28515625" style="335" customWidth="1"/>
    <col min="9472" max="9474" width="15.7109375" style="335" customWidth="1"/>
    <col min="9475" max="9475" width="11.42578125" style="335"/>
    <col min="9476" max="9476" width="12.85546875" style="335" customWidth="1"/>
    <col min="9477" max="9477" width="11.42578125" style="335" customWidth="1"/>
    <col min="9478" max="9721" width="11.42578125" style="335"/>
    <col min="9722" max="9722" width="35.7109375" style="335" customWidth="1"/>
    <col min="9723" max="9723" width="15.7109375" style="335" customWidth="1"/>
    <col min="9724" max="9726" width="0" style="335" hidden="1" customWidth="1"/>
    <col min="9727" max="9727" width="3.28515625" style="335" customWidth="1"/>
    <col min="9728" max="9730" width="15.7109375" style="335" customWidth="1"/>
    <col min="9731" max="9731" width="11.42578125" style="335"/>
    <col min="9732" max="9732" width="12.85546875" style="335" customWidth="1"/>
    <col min="9733" max="9733" width="11.42578125" style="335" customWidth="1"/>
    <col min="9734" max="9977" width="11.42578125" style="335"/>
    <col min="9978" max="9978" width="35.7109375" style="335" customWidth="1"/>
    <col min="9979" max="9979" width="15.7109375" style="335" customWidth="1"/>
    <col min="9980" max="9982" width="0" style="335" hidden="1" customWidth="1"/>
    <col min="9983" max="9983" width="3.28515625" style="335" customWidth="1"/>
    <col min="9984" max="9986" width="15.7109375" style="335" customWidth="1"/>
    <col min="9987" max="9987" width="11.42578125" style="335"/>
    <col min="9988" max="9988" width="12.85546875" style="335" customWidth="1"/>
    <col min="9989" max="9989" width="11.42578125" style="335" customWidth="1"/>
    <col min="9990" max="10233" width="11.42578125" style="335"/>
    <col min="10234" max="10234" width="35.7109375" style="335" customWidth="1"/>
    <col min="10235" max="10235" width="15.7109375" style="335" customWidth="1"/>
    <col min="10236" max="10238" width="0" style="335" hidden="1" customWidth="1"/>
    <col min="10239" max="10239" width="3.28515625" style="335" customWidth="1"/>
    <col min="10240" max="10242" width="15.7109375" style="335" customWidth="1"/>
    <col min="10243" max="10243" width="11.42578125" style="335"/>
    <col min="10244" max="10244" width="12.85546875" style="335" customWidth="1"/>
    <col min="10245" max="10245" width="11.42578125" style="335" customWidth="1"/>
    <col min="10246" max="10489" width="11.42578125" style="335"/>
    <col min="10490" max="10490" width="35.7109375" style="335" customWidth="1"/>
    <col min="10491" max="10491" width="15.7109375" style="335" customWidth="1"/>
    <col min="10492" max="10494" width="0" style="335" hidden="1" customWidth="1"/>
    <col min="10495" max="10495" width="3.28515625" style="335" customWidth="1"/>
    <col min="10496" max="10498" width="15.7109375" style="335" customWidth="1"/>
    <col min="10499" max="10499" width="11.42578125" style="335"/>
    <col min="10500" max="10500" width="12.85546875" style="335" customWidth="1"/>
    <col min="10501" max="10501" width="11.42578125" style="335" customWidth="1"/>
    <col min="10502" max="10745" width="11.42578125" style="335"/>
    <col min="10746" max="10746" width="35.7109375" style="335" customWidth="1"/>
    <col min="10747" max="10747" width="15.7109375" style="335" customWidth="1"/>
    <col min="10748" max="10750" width="0" style="335" hidden="1" customWidth="1"/>
    <col min="10751" max="10751" width="3.28515625" style="335" customWidth="1"/>
    <col min="10752" max="10754" width="15.7109375" style="335" customWidth="1"/>
    <col min="10755" max="10755" width="11.42578125" style="335"/>
    <col min="10756" max="10756" width="12.85546875" style="335" customWidth="1"/>
    <col min="10757" max="10757" width="11.42578125" style="335" customWidth="1"/>
    <col min="10758" max="11001" width="11.42578125" style="335"/>
    <col min="11002" max="11002" width="35.7109375" style="335" customWidth="1"/>
    <col min="11003" max="11003" width="15.7109375" style="335" customWidth="1"/>
    <col min="11004" max="11006" width="0" style="335" hidden="1" customWidth="1"/>
    <col min="11007" max="11007" width="3.28515625" style="335" customWidth="1"/>
    <col min="11008" max="11010" width="15.7109375" style="335" customWidth="1"/>
    <col min="11011" max="11011" width="11.42578125" style="335"/>
    <col min="11012" max="11012" width="12.85546875" style="335" customWidth="1"/>
    <col min="11013" max="11013" width="11.42578125" style="335" customWidth="1"/>
    <col min="11014" max="11257" width="11.42578125" style="335"/>
    <col min="11258" max="11258" width="35.7109375" style="335" customWidth="1"/>
    <col min="11259" max="11259" width="15.7109375" style="335" customWidth="1"/>
    <col min="11260" max="11262" width="0" style="335" hidden="1" customWidth="1"/>
    <col min="11263" max="11263" width="3.28515625" style="335" customWidth="1"/>
    <col min="11264" max="11266" width="15.7109375" style="335" customWidth="1"/>
    <col min="11267" max="11267" width="11.42578125" style="335"/>
    <col min="11268" max="11268" width="12.85546875" style="335" customWidth="1"/>
    <col min="11269" max="11269" width="11.42578125" style="335" customWidth="1"/>
    <col min="11270" max="11513" width="11.42578125" style="335"/>
    <col min="11514" max="11514" width="35.7109375" style="335" customWidth="1"/>
    <col min="11515" max="11515" width="15.7109375" style="335" customWidth="1"/>
    <col min="11516" max="11518" width="0" style="335" hidden="1" customWidth="1"/>
    <col min="11519" max="11519" width="3.28515625" style="335" customWidth="1"/>
    <col min="11520" max="11522" width="15.7109375" style="335" customWidth="1"/>
    <col min="11523" max="11523" width="11.42578125" style="335"/>
    <col min="11524" max="11524" width="12.85546875" style="335" customWidth="1"/>
    <col min="11525" max="11525" width="11.42578125" style="335" customWidth="1"/>
    <col min="11526" max="11769" width="11.42578125" style="335"/>
    <col min="11770" max="11770" width="35.7109375" style="335" customWidth="1"/>
    <col min="11771" max="11771" width="15.7109375" style="335" customWidth="1"/>
    <col min="11772" max="11774" width="0" style="335" hidden="1" customWidth="1"/>
    <col min="11775" max="11775" width="3.28515625" style="335" customWidth="1"/>
    <col min="11776" max="11778" width="15.7109375" style="335" customWidth="1"/>
    <col min="11779" max="11779" width="11.42578125" style="335"/>
    <col min="11780" max="11780" width="12.85546875" style="335" customWidth="1"/>
    <col min="11781" max="11781" width="11.42578125" style="335" customWidth="1"/>
    <col min="11782" max="12025" width="11.42578125" style="335"/>
    <col min="12026" max="12026" width="35.7109375" style="335" customWidth="1"/>
    <col min="12027" max="12027" width="15.7109375" style="335" customWidth="1"/>
    <col min="12028" max="12030" width="0" style="335" hidden="1" customWidth="1"/>
    <col min="12031" max="12031" width="3.28515625" style="335" customWidth="1"/>
    <col min="12032" max="12034" width="15.7109375" style="335" customWidth="1"/>
    <col min="12035" max="12035" width="11.42578125" style="335"/>
    <col min="12036" max="12036" width="12.85546875" style="335" customWidth="1"/>
    <col min="12037" max="12037" width="11.42578125" style="335" customWidth="1"/>
    <col min="12038" max="12281" width="11.42578125" style="335"/>
    <col min="12282" max="12282" width="35.7109375" style="335" customWidth="1"/>
    <col min="12283" max="12283" width="15.7109375" style="335" customWidth="1"/>
    <col min="12284" max="12286" width="0" style="335" hidden="1" customWidth="1"/>
    <col min="12287" max="12287" width="3.28515625" style="335" customWidth="1"/>
    <col min="12288" max="12290" width="15.7109375" style="335" customWidth="1"/>
    <col min="12291" max="12291" width="11.42578125" style="335"/>
    <col min="12292" max="12292" width="12.85546875" style="335" customWidth="1"/>
    <col min="12293" max="12293" width="11.42578125" style="335" customWidth="1"/>
    <col min="12294" max="12537" width="11.42578125" style="335"/>
    <col min="12538" max="12538" width="35.7109375" style="335" customWidth="1"/>
    <col min="12539" max="12539" width="15.7109375" style="335" customWidth="1"/>
    <col min="12540" max="12542" width="0" style="335" hidden="1" customWidth="1"/>
    <col min="12543" max="12543" width="3.28515625" style="335" customWidth="1"/>
    <col min="12544" max="12546" width="15.7109375" style="335" customWidth="1"/>
    <col min="12547" max="12547" width="11.42578125" style="335"/>
    <col min="12548" max="12548" width="12.85546875" style="335" customWidth="1"/>
    <col min="12549" max="12549" width="11.42578125" style="335" customWidth="1"/>
    <col min="12550" max="12793" width="11.42578125" style="335"/>
    <col min="12794" max="12794" width="35.7109375" style="335" customWidth="1"/>
    <col min="12795" max="12795" width="15.7109375" style="335" customWidth="1"/>
    <col min="12796" max="12798" width="0" style="335" hidden="1" customWidth="1"/>
    <col min="12799" max="12799" width="3.28515625" style="335" customWidth="1"/>
    <col min="12800" max="12802" width="15.7109375" style="335" customWidth="1"/>
    <col min="12803" max="12803" width="11.42578125" style="335"/>
    <col min="12804" max="12804" width="12.85546875" style="335" customWidth="1"/>
    <col min="12805" max="12805" width="11.42578125" style="335" customWidth="1"/>
    <col min="12806" max="13049" width="11.42578125" style="335"/>
    <col min="13050" max="13050" width="35.7109375" style="335" customWidth="1"/>
    <col min="13051" max="13051" width="15.7109375" style="335" customWidth="1"/>
    <col min="13052" max="13054" width="0" style="335" hidden="1" customWidth="1"/>
    <col min="13055" max="13055" width="3.28515625" style="335" customWidth="1"/>
    <col min="13056" max="13058" width="15.7109375" style="335" customWidth="1"/>
    <col min="13059" max="13059" width="11.42578125" style="335"/>
    <col min="13060" max="13060" width="12.85546875" style="335" customWidth="1"/>
    <col min="13061" max="13061" width="11.42578125" style="335" customWidth="1"/>
    <col min="13062" max="13305" width="11.42578125" style="335"/>
    <col min="13306" max="13306" width="35.7109375" style="335" customWidth="1"/>
    <col min="13307" max="13307" width="15.7109375" style="335" customWidth="1"/>
    <col min="13308" max="13310" width="0" style="335" hidden="1" customWidth="1"/>
    <col min="13311" max="13311" width="3.28515625" style="335" customWidth="1"/>
    <col min="13312" max="13314" width="15.7109375" style="335" customWidth="1"/>
    <col min="13315" max="13315" width="11.42578125" style="335"/>
    <col min="13316" max="13316" width="12.85546875" style="335" customWidth="1"/>
    <col min="13317" max="13317" width="11.42578125" style="335" customWidth="1"/>
    <col min="13318" max="13561" width="11.42578125" style="335"/>
    <col min="13562" max="13562" width="35.7109375" style="335" customWidth="1"/>
    <col min="13563" max="13563" width="15.7109375" style="335" customWidth="1"/>
    <col min="13564" max="13566" width="0" style="335" hidden="1" customWidth="1"/>
    <col min="13567" max="13567" width="3.28515625" style="335" customWidth="1"/>
    <col min="13568" max="13570" width="15.7109375" style="335" customWidth="1"/>
    <col min="13571" max="13571" width="11.42578125" style="335"/>
    <col min="13572" max="13572" width="12.85546875" style="335" customWidth="1"/>
    <col min="13573" max="13573" width="11.42578125" style="335" customWidth="1"/>
    <col min="13574" max="13817" width="11.42578125" style="335"/>
    <col min="13818" max="13818" width="35.7109375" style="335" customWidth="1"/>
    <col min="13819" max="13819" width="15.7109375" style="335" customWidth="1"/>
    <col min="13820" max="13822" width="0" style="335" hidden="1" customWidth="1"/>
    <col min="13823" max="13823" width="3.28515625" style="335" customWidth="1"/>
    <col min="13824" max="13826" width="15.7109375" style="335" customWidth="1"/>
    <col min="13827" max="13827" width="11.42578125" style="335"/>
    <col min="13828" max="13828" width="12.85546875" style="335" customWidth="1"/>
    <col min="13829" max="13829" width="11.42578125" style="335" customWidth="1"/>
    <col min="13830" max="14073" width="11.42578125" style="335"/>
    <col min="14074" max="14074" width="35.7109375" style="335" customWidth="1"/>
    <col min="14075" max="14075" width="15.7109375" style="335" customWidth="1"/>
    <col min="14076" max="14078" width="0" style="335" hidden="1" customWidth="1"/>
    <col min="14079" max="14079" width="3.28515625" style="335" customWidth="1"/>
    <col min="14080" max="14082" width="15.7109375" style="335" customWidth="1"/>
    <col min="14083" max="14083" width="11.42578125" style="335"/>
    <col min="14084" max="14084" width="12.85546875" style="335" customWidth="1"/>
    <col min="14085" max="14085" width="11.42578125" style="335" customWidth="1"/>
    <col min="14086" max="14329" width="11.42578125" style="335"/>
    <col min="14330" max="14330" width="35.7109375" style="335" customWidth="1"/>
    <col min="14331" max="14331" width="15.7109375" style="335" customWidth="1"/>
    <col min="14332" max="14334" width="0" style="335" hidden="1" customWidth="1"/>
    <col min="14335" max="14335" width="3.28515625" style="335" customWidth="1"/>
    <col min="14336" max="14338" width="15.7109375" style="335" customWidth="1"/>
    <col min="14339" max="14339" width="11.42578125" style="335"/>
    <col min="14340" max="14340" width="12.85546875" style="335" customWidth="1"/>
    <col min="14341" max="14341" width="11.42578125" style="335" customWidth="1"/>
    <col min="14342" max="14585" width="11.42578125" style="335"/>
    <col min="14586" max="14586" width="35.7109375" style="335" customWidth="1"/>
    <col min="14587" max="14587" width="15.7109375" style="335" customWidth="1"/>
    <col min="14588" max="14590" width="0" style="335" hidden="1" customWidth="1"/>
    <col min="14591" max="14591" width="3.28515625" style="335" customWidth="1"/>
    <col min="14592" max="14594" width="15.7109375" style="335" customWidth="1"/>
    <col min="14595" max="14595" width="11.42578125" style="335"/>
    <col min="14596" max="14596" width="12.85546875" style="335" customWidth="1"/>
    <col min="14597" max="14597" width="11.42578125" style="335" customWidth="1"/>
    <col min="14598" max="14841" width="11.42578125" style="335"/>
    <col min="14842" max="14842" width="35.7109375" style="335" customWidth="1"/>
    <col min="14843" max="14843" width="15.7109375" style="335" customWidth="1"/>
    <col min="14844" max="14846" width="0" style="335" hidden="1" customWidth="1"/>
    <col min="14847" max="14847" width="3.28515625" style="335" customWidth="1"/>
    <col min="14848" max="14850" width="15.7109375" style="335" customWidth="1"/>
    <col min="14851" max="14851" width="11.42578125" style="335"/>
    <col min="14852" max="14852" width="12.85546875" style="335" customWidth="1"/>
    <col min="14853" max="14853" width="11.42578125" style="335" customWidth="1"/>
    <col min="14854" max="15097" width="11.42578125" style="335"/>
    <col min="15098" max="15098" width="35.7109375" style="335" customWidth="1"/>
    <col min="15099" max="15099" width="15.7109375" style="335" customWidth="1"/>
    <col min="15100" max="15102" width="0" style="335" hidden="1" customWidth="1"/>
    <col min="15103" max="15103" width="3.28515625" style="335" customWidth="1"/>
    <col min="15104" max="15106" width="15.7109375" style="335" customWidth="1"/>
    <col min="15107" max="15107" width="11.42578125" style="335"/>
    <col min="15108" max="15108" width="12.85546875" style="335" customWidth="1"/>
    <col min="15109" max="15109" width="11.42578125" style="335" customWidth="1"/>
    <col min="15110" max="15353" width="11.42578125" style="335"/>
    <col min="15354" max="15354" width="35.7109375" style="335" customWidth="1"/>
    <col min="15355" max="15355" width="15.7109375" style="335" customWidth="1"/>
    <col min="15356" max="15358" width="0" style="335" hidden="1" customWidth="1"/>
    <col min="15359" max="15359" width="3.28515625" style="335" customWidth="1"/>
    <col min="15360" max="15362" width="15.7109375" style="335" customWidth="1"/>
    <col min="15363" max="15363" width="11.42578125" style="335"/>
    <col min="15364" max="15364" width="12.85546875" style="335" customWidth="1"/>
    <col min="15365" max="15365" width="11.42578125" style="335" customWidth="1"/>
    <col min="15366" max="15609" width="11.42578125" style="335"/>
    <col min="15610" max="15610" width="35.7109375" style="335" customWidth="1"/>
    <col min="15611" max="15611" width="15.7109375" style="335" customWidth="1"/>
    <col min="15612" max="15614" width="0" style="335" hidden="1" customWidth="1"/>
    <col min="15615" max="15615" width="3.28515625" style="335" customWidth="1"/>
    <col min="15616" max="15618" width="15.7109375" style="335" customWidth="1"/>
    <col min="15619" max="15619" width="11.42578125" style="335"/>
    <col min="15620" max="15620" width="12.85546875" style="335" customWidth="1"/>
    <col min="15621" max="15621" width="11.42578125" style="335" customWidth="1"/>
    <col min="15622" max="15865" width="11.42578125" style="335"/>
    <col min="15866" max="15866" width="35.7109375" style="335" customWidth="1"/>
    <col min="15867" max="15867" width="15.7109375" style="335" customWidth="1"/>
    <col min="15868" max="15870" width="0" style="335" hidden="1" customWidth="1"/>
    <col min="15871" max="15871" width="3.28515625" style="335" customWidth="1"/>
    <col min="15872" max="15874" width="15.7109375" style="335" customWidth="1"/>
    <col min="15875" max="15875" width="11.42578125" style="335"/>
    <col min="15876" max="15876" width="12.85546875" style="335" customWidth="1"/>
    <col min="15877" max="15877" width="11.42578125" style="335" customWidth="1"/>
    <col min="15878" max="16121" width="11.42578125" style="335"/>
    <col min="16122" max="16122" width="35.7109375" style="335" customWidth="1"/>
    <col min="16123" max="16123" width="15.7109375" style="335" customWidth="1"/>
    <col min="16124" max="16126" width="0" style="335" hidden="1" customWidth="1"/>
    <col min="16127" max="16127" width="3.28515625" style="335" customWidth="1"/>
    <col min="16128" max="16130" width="15.7109375" style="335" customWidth="1"/>
    <col min="16131" max="16131" width="11.42578125" style="335"/>
    <col min="16132" max="16132" width="12.85546875" style="335" customWidth="1"/>
    <col min="16133" max="16133" width="11.42578125" style="335" customWidth="1"/>
    <col min="16134" max="16384" width="11.42578125" style="335"/>
  </cols>
  <sheetData>
    <row r="1" spans="1:9" ht="26.25" x14ac:dyDescent="0.4">
      <c r="A1" s="533" t="s">
        <v>287</v>
      </c>
      <c r="B1" s="562"/>
      <c r="C1" s="562"/>
      <c r="D1" s="562"/>
      <c r="E1" s="562"/>
      <c r="F1" s="563"/>
    </row>
    <row r="2" spans="1:9" ht="26.25" x14ac:dyDescent="0.4">
      <c r="A2" s="564" t="s">
        <v>218</v>
      </c>
      <c r="B2" s="565"/>
      <c r="C2" s="565"/>
      <c r="D2" s="565"/>
      <c r="E2" s="566"/>
      <c r="F2" s="796" t="str">
        <f>+Stammdaten!D2</f>
        <v>Version 2.0</v>
      </c>
    </row>
    <row r="3" spans="1:9" ht="15.75" thickBot="1" x14ac:dyDescent="0.3">
      <c r="A3" s="874">
        <f>+Stammdaten!B5</f>
        <v>0</v>
      </c>
      <c r="B3" s="528">
        <f>+Stammdaten!B3</f>
        <v>0</v>
      </c>
      <c r="C3" s="555"/>
      <c r="D3" s="878"/>
      <c r="E3" s="875" t="s">
        <v>36</v>
      </c>
      <c r="F3" s="876"/>
    </row>
    <row r="4" spans="1:9" ht="121.5" customHeight="1" thickBot="1" x14ac:dyDescent="0.25">
      <c r="A4" s="1005" t="s">
        <v>294</v>
      </c>
      <c r="B4" s="974"/>
      <c r="C4" s="974"/>
      <c r="D4" s="974"/>
      <c r="E4" s="974"/>
      <c r="F4" s="1059"/>
      <c r="G4" s="877"/>
    </row>
    <row r="5" spans="1:9" ht="13.5" customHeight="1" thickBot="1" x14ac:dyDescent="0.4">
      <c r="A5" s="337"/>
      <c r="B5" s="336"/>
      <c r="C5" s="336"/>
      <c r="D5" s="336"/>
      <c r="E5" s="336"/>
      <c r="F5" s="873"/>
    </row>
    <row r="6" spans="1:9" ht="15" customHeight="1" x14ac:dyDescent="0.25">
      <c r="A6" s="1010" t="s">
        <v>308</v>
      </c>
      <c r="B6" s="1011"/>
      <c r="C6" s="1006"/>
      <c r="D6" s="1047" t="s">
        <v>326</v>
      </c>
      <c r="E6" s="1048"/>
      <c r="F6" s="1049"/>
      <c r="G6" s="369" t="str">
        <f>+IF(AND(C6="",C8=""),"Bitte wählen Sie ENTWEDER Neuverhandlung ODER Indexierung","")</f>
        <v>Bitte wählen Sie ENTWEDER Neuverhandlung ODER Indexierung</v>
      </c>
      <c r="I6" s="113"/>
    </row>
    <row r="7" spans="1:9" ht="39.75" customHeight="1" thickBot="1" x14ac:dyDescent="0.3">
      <c r="A7" s="434"/>
      <c r="B7" s="933" t="s">
        <v>306</v>
      </c>
      <c r="C7" s="1013"/>
      <c r="D7" s="1050"/>
      <c r="E7" s="1051"/>
      <c r="F7" s="1052"/>
      <c r="G7" s="459"/>
      <c r="I7" s="113"/>
    </row>
    <row r="8" spans="1:9" x14ac:dyDescent="0.25">
      <c r="A8" s="1010" t="s">
        <v>305</v>
      </c>
      <c r="B8" s="1011"/>
      <c r="C8" s="1006"/>
      <c r="D8" s="1047" t="s">
        <v>330</v>
      </c>
      <c r="E8" s="1048"/>
      <c r="F8" s="1049"/>
      <c r="G8" s="369" t="str">
        <f>+IF(AND(C6="x",C8="x"),"Bitte wählen Sie ENTWEDER Neuverhandlung ODER Indexierung!","")</f>
        <v/>
      </c>
      <c r="I8" s="113"/>
    </row>
    <row r="9" spans="1:9" ht="51" customHeight="1" thickBot="1" x14ac:dyDescent="0.3">
      <c r="A9" s="434"/>
      <c r="B9" s="933" t="s">
        <v>307</v>
      </c>
      <c r="C9" s="1013"/>
      <c r="D9" s="1050"/>
      <c r="E9" s="1051"/>
      <c r="F9" s="1052"/>
      <c r="G9" s="459"/>
      <c r="I9" s="113"/>
    </row>
    <row r="10" spans="1:9" ht="15" customHeight="1" x14ac:dyDescent="0.35">
      <c r="A10" s="800"/>
      <c r="B10" s="559"/>
      <c r="C10" s="559"/>
      <c r="D10" s="559"/>
      <c r="E10" s="559"/>
      <c r="F10" s="620"/>
      <c r="I10" s="113"/>
    </row>
    <row r="11" spans="1:9" ht="15" customHeight="1" x14ac:dyDescent="0.25">
      <c r="A11" s="497" t="s">
        <v>318</v>
      </c>
      <c r="B11" s="805"/>
      <c r="C11" s="805"/>
      <c r="D11" s="805"/>
      <c r="E11" s="805"/>
      <c r="F11" s="806"/>
      <c r="G11" s="369"/>
      <c r="I11" s="113"/>
    </row>
    <row r="12" spans="1:9" s="799" customFormat="1" ht="15" customHeight="1" x14ac:dyDescent="0.25">
      <c r="A12" s="505" t="s">
        <v>321</v>
      </c>
      <c r="B12" s="577"/>
      <c r="C12" s="575"/>
      <c r="D12" s="804"/>
      <c r="E12" s="804"/>
      <c r="F12" s="807"/>
      <c r="G12" s="369"/>
      <c r="I12" s="113"/>
    </row>
    <row r="13" spans="1:9" s="799" customFormat="1" ht="15" customHeight="1" x14ac:dyDescent="0.25">
      <c r="A13" s="13"/>
      <c r="B13" s="814" t="s">
        <v>324</v>
      </c>
      <c r="C13" s="815"/>
      <c r="D13" s="813" t="str">
        <f>+IF(AND(C8="x",C13=""),"Achtung, Feld C13 muss befüllt werden!","")</f>
        <v/>
      </c>
      <c r="E13" s="804"/>
      <c r="F13" s="807"/>
      <c r="G13" s="369"/>
      <c r="I13" s="113"/>
    </row>
    <row r="14" spans="1:9" s="799" customFormat="1" ht="15" customHeight="1" x14ac:dyDescent="0.25">
      <c r="A14" s="816"/>
      <c r="B14" s="814" t="s">
        <v>325</v>
      </c>
      <c r="C14" s="815"/>
      <c r="D14" s="813" t="str">
        <f>+IF(AND(C8="x",C14=""),"Achtung, Feld C14 muss befüllt werden!",IF(C14-C13&gt;5,"ACHTUNG: Indexierung ist nur für einen Zeitraum von max. 5 Jahren möglich!",""))</f>
        <v/>
      </c>
      <c r="E14" s="575"/>
      <c r="F14" s="812"/>
      <c r="G14" s="369"/>
      <c r="I14" s="113"/>
    </row>
    <row r="15" spans="1:9" s="799" customFormat="1" ht="15" customHeight="1" x14ac:dyDescent="0.25">
      <c r="A15" s="811"/>
      <c r="B15" s="817" t="s">
        <v>312</v>
      </c>
      <c r="C15" s="818">
        <f>IF(C14&gt;C13,VLOOKUP(E15,'Anlage Inflationsraten'!I6:J35,2)-1,0)</f>
        <v>0</v>
      </c>
      <c r="D15" s="809" t="s">
        <v>317</v>
      </c>
      <c r="E15" s="803" t="str">
        <f>+C13&amp;C14</f>
        <v/>
      </c>
      <c r="F15" s="807"/>
      <c r="G15" s="369"/>
      <c r="I15" s="113"/>
    </row>
    <row r="16" spans="1:9" s="799" customFormat="1" ht="15" customHeight="1" x14ac:dyDescent="0.25">
      <c r="A16" s="399"/>
      <c r="B16" s="804"/>
      <c r="C16" s="840" t="str">
        <f>+IF(AND(C13&gt;=C14,C8="x"),"Achtung, falsche Jahreszahlen!","")</f>
        <v/>
      </c>
      <c r="D16" s="1053" t="s">
        <v>322</v>
      </c>
      <c r="E16" s="1054"/>
      <c r="F16" s="1055"/>
      <c r="G16" s="369"/>
      <c r="I16" s="113"/>
    </row>
    <row r="17" spans="1:10" s="799" customFormat="1" ht="15" customHeight="1" x14ac:dyDescent="0.25">
      <c r="A17" s="808"/>
      <c r="B17" s="810"/>
      <c r="C17" s="810"/>
      <c r="D17" s="1056"/>
      <c r="E17" s="1057"/>
      <c r="F17" s="1058"/>
      <c r="G17" s="369"/>
      <c r="I17" s="113"/>
    </row>
    <row r="18" spans="1:10" ht="12.75" customHeight="1" thickBot="1" x14ac:dyDescent="0.4">
      <c r="A18" s="337"/>
      <c r="B18" s="336"/>
      <c r="C18" s="336"/>
      <c r="D18" s="336"/>
      <c r="E18" s="336"/>
      <c r="F18" s="842"/>
    </row>
    <row r="19" spans="1:10" ht="15.75" thickBot="1" x14ac:dyDescent="0.3">
      <c r="A19" s="856"/>
      <c r="B19" s="856"/>
      <c r="C19" s="848" t="str">
        <f>+IF(C6="x","Neuverhandlung",IF(C8="x","Indexierung",""))</f>
        <v/>
      </c>
      <c r="D19" s="855"/>
      <c r="E19" s="856"/>
      <c r="F19" s="824"/>
    </row>
    <row r="20" spans="1:10" ht="39.75" customHeight="1" x14ac:dyDescent="0.35">
      <c r="A20" s="1060" t="s">
        <v>256</v>
      </c>
      <c r="B20" s="1061"/>
      <c r="C20" s="837" t="str">
        <f>+IF(C6="x","umlegbare Nebenkosten",IF(C8="x","Werte letzte Verhandlung",""))</f>
        <v/>
      </c>
      <c r="D20" s="837" t="s">
        <v>320</v>
      </c>
      <c r="E20" s="858" t="s">
        <v>20</v>
      </c>
      <c r="F20" s="853" t="s">
        <v>19</v>
      </c>
      <c r="G20" s="60"/>
    </row>
    <row r="21" spans="1:10" ht="15.75" customHeight="1" x14ac:dyDescent="0.25">
      <c r="A21" s="567" t="s">
        <v>212</v>
      </c>
      <c r="B21" s="568"/>
      <c r="C21" s="838" t="str">
        <f>IF(C8="x",C13,"")</f>
        <v/>
      </c>
      <c r="D21" s="839" t="str">
        <f>IF(C8="x",C14,"")</f>
        <v/>
      </c>
      <c r="E21" s="570"/>
      <c r="F21" s="569"/>
      <c r="G21" s="60"/>
    </row>
    <row r="22" spans="1:10" ht="15.75" thickBot="1" x14ac:dyDescent="0.3">
      <c r="A22" s="571" t="s">
        <v>147</v>
      </c>
      <c r="B22" s="572"/>
      <c r="C22" s="802" t="s">
        <v>319</v>
      </c>
      <c r="D22" s="802" t="s">
        <v>319</v>
      </c>
      <c r="E22" s="364">
        <v>0</v>
      </c>
      <c r="F22" s="357">
        <v>1</v>
      </c>
      <c r="G22" s="60"/>
      <c r="H22" s="76"/>
    </row>
    <row r="23" spans="1:10" x14ac:dyDescent="0.25">
      <c r="A23" s="843" t="s">
        <v>253</v>
      </c>
      <c r="B23" s="844"/>
      <c r="C23" s="845"/>
      <c r="D23" s="845"/>
      <c r="E23" s="846"/>
      <c r="F23" s="847"/>
      <c r="G23" s="60"/>
      <c r="H23" s="76"/>
    </row>
    <row r="24" spans="1:10" x14ac:dyDescent="0.25">
      <c r="A24" s="342" t="s">
        <v>38</v>
      </c>
      <c r="B24" s="343"/>
      <c r="C24" s="344"/>
      <c r="D24" s="849">
        <f>+IF($C$6="x",C24,IF($C$8="x",C24*(1+$C$15),0))</f>
        <v>0</v>
      </c>
      <c r="E24" s="365">
        <f>+D24*$E$22</f>
        <v>0</v>
      </c>
      <c r="F24" s="352">
        <f>+D24*$F$22</f>
        <v>0</v>
      </c>
      <c r="G24" s="60"/>
      <c r="H24" s="76"/>
      <c r="J24" s="362"/>
    </row>
    <row r="25" spans="1:10" x14ac:dyDescent="0.25">
      <c r="A25" s="342" t="s">
        <v>39</v>
      </c>
      <c r="B25" s="343"/>
      <c r="C25" s="344"/>
      <c r="D25" s="849">
        <f t="shared" ref="D25:D42" si="0">+IF($C$6="x",C25,IF($C$8="x",C25*(1+$C$15),0))</f>
        <v>0</v>
      </c>
      <c r="E25" s="365">
        <f t="shared" ref="E25:E42" si="1">+D25*$E$22</f>
        <v>0</v>
      </c>
      <c r="F25" s="352">
        <f t="shared" ref="F25:F42" si="2">+D25*$F$22</f>
        <v>0</v>
      </c>
      <c r="G25" s="60"/>
      <c r="H25" s="76"/>
    </row>
    <row r="26" spans="1:10" x14ac:dyDescent="0.25">
      <c r="A26" s="342" t="s">
        <v>40</v>
      </c>
      <c r="B26" s="343"/>
      <c r="C26" s="344"/>
      <c r="D26" s="849">
        <f t="shared" si="0"/>
        <v>0</v>
      </c>
      <c r="E26" s="365">
        <f t="shared" si="1"/>
        <v>0</v>
      </c>
      <c r="F26" s="352">
        <f t="shared" si="2"/>
        <v>0</v>
      </c>
      <c r="G26" s="60"/>
    </row>
    <row r="27" spans="1:10" x14ac:dyDescent="0.25">
      <c r="A27" s="342" t="s">
        <v>41</v>
      </c>
      <c r="B27" s="343"/>
      <c r="C27" s="344"/>
      <c r="D27" s="849">
        <f t="shared" si="0"/>
        <v>0</v>
      </c>
      <c r="E27" s="365">
        <f t="shared" si="1"/>
        <v>0</v>
      </c>
      <c r="F27" s="352">
        <f t="shared" si="2"/>
        <v>0</v>
      </c>
      <c r="G27" s="60"/>
    </row>
    <row r="28" spans="1:10" x14ac:dyDescent="0.25">
      <c r="A28" s="342" t="s">
        <v>42</v>
      </c>
      <c r="B28" s="343"/>
      <c r="C28" s="344"/>
      <c r="D28" s="849">
        <f t="shared" si="0"/>
        <v>0</v>
      </c>
      <c r="E28" s="365">
        <f t="shared" si="1"/>
        <v>0</v>
      </c>
      <c r="F28" s="352">
        <f t="shared" si="2"/>
        <v>0</v>
      </c>
      <c r="G28" s="60"/>
      <c r="J28" s="362"/>
    </row>
    <row r="29" spans="1:10" x14ac:dyDescent="0.25">
      <c r="A29" s="342" t="s">
        <v>26</v>
      </c>
      <c r="B29" s="343"/>
      <c r="C29" s="344"/>
      <c r="D29" s="849">
        <f t="shared" si="0"/>
        <v>0</v>
      </c>
      <c r="E29" s="365">
        <f t="shared" si="1"/>
        <v>0</v>
      </c>
      <c r="F29" s="352">
        <f t="shared" si="2"/>
        <v>0</v>
      </c>
      <c r="G29" s="60"/>
    </row>
    <row r="30" spans="1:10" x14ac:dyDescent="0.25">
      <c r="A30" s="342" t="s">
        <v>27</v>
      </c>
      <c r="B30" s="343"/>
      <c r="C30" s="344"/>
      <c r="D30" s="849">
        <f t="shared" si="0"/>
        <v>0</v>
      </c>
      <c r="E30" s="365">
        <f t="shared" si="1"/>
        <v>0</v>
      </c>
      <c r="F30" s="352">
        <f t="shared" si="2"/>
        <v>0</v>
      </c>
      <c r="G30" s="60"/>
    </row>
    <row r="31" spans="1:10" x14ac:dyDescent="0.25">
      <c r="A31" s="342" t="s">
        <v>28</v>
      </c>
      <c r="B31" s="343"/>
      <c r="C31" s="344"/>
      <c r="D31" s="849">
        <f t="shared" si="0"/>
        <v>0</v>
      </c>
      <c r="E31" s="365">
        <f t="shared" si="1"/>
        <v>0</v>
      </c>
      <c r="F31" s="352">
        <f t="shared" si="2"/>
        <v>0</v>
      </c>
      <c r="G31" s="60"/>
    </row>
    <row r="32" spans="1:10" x14ac:dyDescent="0.25">
      <c r="A32" s="342" t="s">
        <v>29</v>
      </c>
      <c r="B32" s="343"/>
      <c r="C32" s="344"/>
      <c r="D32" s="849">
        <f t="shared" si="0"/>
        <v>0</v>
      </c>
      <c r="E32" s="365">
        <f t="shared" si="1"/>
        <v>0</v>
      </c>
      <c r="F32" s="352">
        <f>+D32*$F$22</f>
        <v>0</v>
      </c>
      <c r="G32" s="60"/>
    </row>
    <row r="33" spans="1:9" x14ac:dyDescent="0.25">
      <c r="A33" s="342" t="s">
        <v>30</v>
      </c>
      <c r="B33" s="343"/>
      <c r="C33" s="344"/>
      <c r="D33" s="849">
        <f t="shared" si="0"/>
        <v>0</v>
      </c>
      <c r="E33" s="365">
        <f t="shared" si="1"/>
        <v>0</v>
      </c>
      <c r="F33" s="352">
        <f t="shared" si="2"/>
        <v>0</v>
      </c>
      <c r="G33" s="60"/>
    </row>
    <row r="34" spans="1:9" x14ac:dyDescent="0.25">
      <c r="A34" s="342" t="s">
        <v>31</v>
      </c>
      <c r="B34" s="343"/>
      <c r="C34" s="344"/>
      <c r="D34" s="849">
        <f t="shared" si="0"/>
        <v>0</v>
      </c>
      <c r="E34" s="365">
        <f t="shared" si="1"/>
        <v>0</v>
      </c>
      <c r="F34" s="352">
        <f t="shared" si="2"/>
        <v>0</v>
      </c>
      <c r="G34" s="60"/>
    </row>
    <row r="35" spans="1:9" x14ac:dyDescent="0.25">
      <c r="A35" s="342" t="s">
        <v>32</v>
      </c>
      <c r="B35" s="343"/>
      <c r="C35" s="344"/>
      <c r="D35" s="849">
        <f t="shared" si="0"/>
        <v>0</v>
      </c>
      <c r="E35" s="365">
        <f t="shared" si="1"/>
        <v>0</v>
      </c>
      <c r="F35" s="352">
        <f t="shared" si="2"/>
        <v>0</v>
      </c>
      <c r="G35" s="60"/>
    </row>
    <row r="36" spans="1:9" x14ac:dyDescent="0.25">
      <c r="A36" s="342" t="s">
        <v>33</v>
      </c>
      <c r="B36" s="343"/>
      <c r="C36" s="344"/>
      <c r="D36" s="849">
        <f t="shared" si="0"/>
        <v>0</v>
      </c>
      <c r="E36" s="365">
        <f t="shared" si="1"/>
        <v>0</v>
      </c>
      <c r="F36" s="352">
        <f t="shared" si="2"/>
        <v>0</v>
      </c>
      <c r="G36" s="60"/>
    </row>
    <row r="37" spans="1:9" x14ac:dyDescent="0.25">
      <c r="A37" s="342" t="s">
        <v>34</v>
      </c>
      <c r="B37" s="343"/>
      <c r="C37" s="344"/>
      <c r="D37" s="849">
        <f t="shared" si="0"/>
        <v>0</v>
      </c>
      <c r="E37" s="365">
        <f t="shared" si="1"/>
        <v>0</v>
      </c>
      <c r="F37" s="352">
        <f t="shared" si="2"/>
        <v>0</v>
      </c>
      <c r="G37" s="60"/>
    </row>
    <row r="38" spans="1:9" x14ac:dyDescent="0.25">
      <c r="A38" s="342" t="s">
        <v>35</v>
      </c>
      <c r="B38" s="343"/>
      <c r="C38" s="344"/>
      <c r="D38" s="849">
        <f t="shared" si="0"/>
        <v>0</v>
      </c>
      <c r="E38" s="365">
        <f t="shared" si="1"/>
        <v>0</v>
      </c>
      <c r="F38" s="352">
        <f t="shared" si="2"/>
        <v>0</v>
      </c>
      <c r="G38" s="60"/>
    </row>
    <row r="39" spans="1:9" ht="30" x14ac:dyDescent="0.25">
      <c r="A39" s="345" t="s">
        <v>44</v>
      </c>
      <c r="B39" s="343"/>
      <c r="C39" s="344"/>
      <c r="D39" s="849">
        <f t="shared" si="0"/>
        <v>0</v>
      </c>
      <c r="E39" s="365">
        <f t="shared" si="1"/>
        <v>0</v>
      </c>
      <c r="F39" s="352">
        <f t="shared" si="2"/>
        <v>0</v>
      </c>
      <c r="G39" s="60"/>
    </row>
    <row r="40" spans="1:9" x14ac:dyDescent="0.25">
      <c r="A40" s="346" t="s">
        <v>142</v>
      </c>
      <c r="B40" s="363"/>
      <c r="C40" s="344"/>
      <c r="D40" s="849">
        <f t="shared" si="0"/>
        <v>0</v>
      </c>
      <c r="E40" s="365">
        <f t="shared" si="1"/>
        <v>0</v>
      </c>
      <c r="F40" s="352">
        <f t="shared" si="2"/>
        <v>0</v>
      </c>
      <c r="G40" s="60"/>
    </row>
    <row r="41" spans="1:9" x14ac:dyDescent="0.25">
      <c r="A41" s="346" t="s">
        <v>43</v>
      </c>
      <c r="B41" s="343"/>
      <c r="C41" s="344"/>
      <c r="D41" s="849">
        <f t="shared" si="0"/>
        <v>0</v>
      </c>
      <c r="E41" s="365">
        <f t="shared" si="1"/>
        <v>0</v>
      </c>
      <c r="F41" s="352">
        <f t="shared" si="2"/>
        <v>0</v>
      </c>
      <c r="G41" s="60"/>
    </row>
    <row r="42" spans="1:9" x14ac:dyDescent="0.25">
      <c r="A42" s="346"/>
      <c r="B42" s="343"/>
      <c r="C42" s="344"/>
      <c r="D42" s="849">
        <f t="shared" si="0"/>
        <v>0</v>
      </c>
      <c r="E42" s="365">
        <f t="shared" si="1"/>
        <v>0</v>
      </c>
      <c r="F42" s="352">
        <f t="shared" si="2"/>
        <v>0</v>
      </c>
      <c r="G42" s="60"/>
    </row>
    <row r="43" spans="1:9" x14ac:dyDescent="0.25">
      <c r="A43" s="573" t="s">
        <v>9</v>
      </c>
      <c r="B43" s="574"/>
      <c r="C43" s="247">
        <f>+SUM(C23:C42)</f>
        <v>0</v>
      </c>
      <c r="D43" s="247">
        <f>+SUM(D23:D42)</f>
        <v>0</v>
      </c>
      <c r="E43" s="366">
        <f>+SUM(E23:E42)</f>
        <v>0</v>
      </c>
      <c r="F43" s="247">
        <f>+SUM(F23:F42)</f>
        <v>0</v>
      </c>
      <c r="G43" s="60"/>
      <c r="H43" s="360" t="s">
        <v>5</v>
      </c>
      <c r="I43" s="160">
        <f>+D43-E43-F43</f>
        <v>0</v>
      </c>
    </row>
    <row r="44" spans="1:9" ht="15.75" thickBot="1" x14ac:dyDescent="0.3">
      <c r="A44" s="571"/>
      <c r="B44" s="888"/>
      <c r="C44" s="889"/>
      <c r="D44" s="889"/>
      <c r="E44" s="890"/>
      <c r="F44" s="891"/>
      <c r="G44" s="60"/>
      <c r="I44" s="113"/>
    </row>
    <row r="45" spans="1:9" x14ac:dyDescent="0.25">
      <c r="A45" s="885" t="s">
        <v>257</v>
      </c>
      <c r="B45" s="886"/>
      <c r="C45" s="887">
        <f>+'B_2 Sonder-Infrastr.'!E72</f>
        <v>0</v>
      </c>
      <c r="D45" s="887">
        <f>+'B_2 Sonder-Infrastr.'!E72</f>
        <v>0</v>
      </c>
      <c r="E45" s="576"/>
      <c r="F45" s="474"/>
      <c r="G45" s="60"/>
      <c r="I45" s="113"/>
    </row>
    <row r="46" spans="1:9" x14ac:dyDescent="0.25">
      <c r="A46" s="573" t="s">
        <v>205</v>
      </c>
      <c r="B46" s="574"/>
      <c r="C46" s="247">
        <f>+C43*C45</f>
        <v>0</v>
      </c>
      <c r="D46" s="247">
        <f>+D43*D45</f>
        <v>0</v>
      </c>
      <c r="E46" s="366">
        <f>+E43*C45</f>
        <v>0</v>
      </c>
      <c r="F46" s="247">
        <f>+F43*C45</f>
        <v>0</v>
      </c>
      <c r="G46" s="60"/>
      <c r="H46" s="360" t="s">
        <v>5</v>
      </c>
      <c r="I46" s="160">
        <f>+D46-E46-F46</f>
        <v>0</v>
      </c>
    </row>
    <row r="47" spans="1:9" x14ac:dyDescent="0.25">
      <c r="A47" s="578" t="s">
        <v>17</v>
      </c>
      <c r="B47" s="860"/>
      <c r="C47" s="368">
        <f>+'B_1 Geb. Kaltmiete'!B110</f>
        <v>0.96499999999999997</v>
      </c>
      <c r="D47" s="367">
        <f>+'B_1 Geb. Kaltmiete'!B110</f>
        <v>0.96499999999999997</v>
      </c>
      <c r="E47" s="365"/>
      <c r="F47" s="352"/>
      <c r="G47" s="60"/>
      <c r="I47" s="199"/>
    </row>
    <row r="48" spans="1:9" x14ac:dyDescent="0.25">
      <c r="A48" s="881"/>
      <c r="B48" s="882" t="s">
        <v>208</v>
      </c>
      <c r="C48" s="247" t="e">
        <f>+C46/Stammdaten!B7/C47</f>
        <v>#DIV/0!</v>
      </c>
      <c r="D48" s="247" t="e">
        <f>+D46/Stammdaten!B7/D47</f>
        <v>#DIV/0!</v>
      </c>
      <c r="E48" s="366" t="e">
        <f>+E46/Stammdaten!B7/C47</f>
        <v>#DIV/0!</v>
      </c>
      <c r="F48" s="247" t="e">
        <f>+F46/Stammdaten!B7/C47</f>
        <v>#DIV/0!</v>
      </c>
      <c r="G48" s="60"/>
      <c r="H48" s="360" t="s">
        <v>5</v>
      </c>
      <c r="I48" s="160" t="e">
        <f>+D48-E48-F48</f>
        <v>#DIV/0!</v>
      </c>
    </row>
    <row r="49" spans="1:9" ht="19.5" thickBot="1" x14ac:dyDescent="0.35">
      <c r="A49" s="883"/>
      <c r="B49" s="879" t="s">
        <v>209</v>
      </c>
      <c r="C49" s="880" t="e">
        <f>+C48/12</f>
        <v>#DIV/0!</v>
      </c>
      <c r="D49" s="880" t="e">
        <f>+D48/12</f>
        <v>#DIV/0!</v>
      </c>
      <c r="E49" s="884" t="e">
        <f>E48/12</f>
        <v>#DIV/0!</v>
      </c>
      <c r="F49" s="880" t="e">
        <f>F48/12</f>
        <v>#DIV/0!</v>
      </c>
      <c r="G49" s="60"/>
      <c r="H49" s="360" t="s">
        <v>5</v>
      </c>
      <c r="I49" s="160" t="e">
        <f>+D49-E49-F49</f>
        <v>#DIV/0!</v>
      </c>
    </row>
    <row r="50" spans="1:9" x14ac:dyDescent="0.25">
      <c r="F50" s="335"/>
      <c r="G50" s="60"/>
      <c r="H50" s="360" t="s">
        <v>5</v>
      </c>
      <c r="I50" s="160" t="e">
        <f>+D46-(D49*Stammdaten!B7*12*D47)</f>
        <v>#DIV/0!</v>
      </c>
    </row>
    <row r="52" spans="1:9" x14ac:dyDescent="0.25">
      <c r="D52" s="859"/>
    </row>
    <row r="53" spans="1:9" x14ac:dyDescent="0.25">
      <c r="D53" s="859"/>
    </row>
  </sheetData>
  <sheetProtection algorithmName="SHA-512" hashValue="d1av1e0sLL40vEVID06G1u7gha+gGocHMqITArKnDydGUGUDXKkFFpoWxDXOvG6pHaPriXFNd0X/AeYYKxZ9/g==" saltValue="Jcy65ma/fYZimaHK8Y445g==" spinCount="100000" sheet="1" objects="1" scenarios="1"/>
  <mergeCells count="9">
    <mergeCell ref="A4:F4"/>
    <mergeCell ref="A20:B20"/>
    <mergeCell ref="A6:B6"/>
    <mergeCell ref="C6:C7"/>
    <mergeCell ref="D6:F7"/>
    <mergeCell ref="A8:B8"/>
    <mergeCell ref="C8:C9"/>
    <mergeCell ref="D8:F9"/>
    <mergeCell ref="D16:F17"/>
  </mergeCells>
  <conditionalFormatting sqref="C6:C7">
    <cfRule type="expression" dxfId="45" priority="5">
      <formula>$C$8="x"</formula>
    </cfRule>
  </conditionalFormatting>
  <conditionalFormatting sqref="C6:C9">
    <cfRule type="expression" dxfId="44" priority="2">
      <formula>AND($C$6="x",$C$8="x")</formula>
    </cfRule>
  </conditionalFormatting>
  <conditionalFormatting sqref="C8:C9">
    <cfRule type="expression" dxfId="43" priority="4">
      <formula>$C$6="x"</formula>
    </cfRule>
  </conditionalFormatting>
  <conditionalFormatting sqref="C13:C14">
    <cfRule type="expression" dxfId="42" priority="1">
      <formula>$C$8="x"</formula>
    </cfRule>
  </conditionalFormatting>
  <conditionalFormatting sqref="I43">
    <cfRule type="expression" dxfId="41" priority="9">
      <formula>OR(I43&lt;-0.0009,I43&gt;0.0009)</formula>
    </cfRule>
  </conditionalFormatting>
  <conditionalFormatting sqref="I46">
    <cfRule type="expression" dxfId="40" priority="8">
      <formula>OR(I46&lt;-0.0009,I46&gt;0.0009)</formula>
    </cfRule>
  </conditionalFormatting>
  <conditionalFormatting sqref="I48:I50">
    <cfRule type="expression" dxfId="39" priority="6">
      <formula>OR(I48&lt;-0.0009,I48&gt;0.0009)</formula>
    </cfRule>
  </conditionalFormatting>
  <dataValidations count="2">
    <dataValidation type="whole" operator="greaterThanOrEqual" allowBlank="1" showInputMessage="1" showErrorMessage="1" sqref="C14" xr:uid="{25B8C22C-7CEF-4725-81FE-087255A68D38}">
      <formula1>2024</formula1>
    </dataValidation>
    <dataValidation type="whole" operator="greaterThanOrEqual" allowBlank="1" showInputMessage="1" showErrorMessage="1" sqref="C13" xr:uid="{296BF1B3-2888-48FC-87FF-5DEDBBE0F00D}">
      <formula1>2022</formula1>
    </dataValidation>
  </dataValidations>
  <pageMargins left="0.7" right="0.7" top="0.78740157499999996" bottom="0.78740157499999996" header="0.3" footer="0.3"/>
  <pageSetup paperSize="9" scale="77" fitToWidth="0"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3"/>
  <dimension ref="A1:N63"/>
  <sheetViews>
    <sheetView topLeftCell="A6" zoomScaleNormal="100" workbookViewId="0">
      <selection activeCell="A10" sqref="A10"/>
    </sheetView>
  </sheetViews>
  <sheetFormatPr baseColWidth="10" defaultColWidth="11.42578125" defaultRowHeight="15" x14ac:dyDescent="0.25"/>
  <cols>
    <col min="1" max="1" width="24" style="113" customWidth="1"/>
    <col min="2" max="2" width="20.42578125" style="113" customWidth="1"/>
    <col min="3" max="3" width="12.7109375" style="113" customWidth="1"/>
    <col min="4" max="4" width="14" style="113" customWidth="1"/>
    <col min="5" max="5" width="18.5703125" style="113" customWidth="1"/>
    <col min="6" max="6" width="16" style="113" customWidth="1"/>
    <col min="7" max="7" width="5.140625" style="113" customWidth="1"/>
    <col min="8" max="8" width="7.7109375" style="113" customWidth="1"/>
    <col min="9" max="9" width="13.28515625" style="113" bestFit="1" customWidth="1"/>
    <col min="10" max="16384" width="11.42578125" style="113"/>
  </cols>
  <sheetData>
    <row r="1" spans="1:14" ht="26.25" x14ac:dyDescent="0.4">
      <c r="A1" s="523" t="s">
        <v>287</v>
      </c>
      <c r="B1" s="580"/>
      <c r="C1" s="555"/>
      <c r="D1" s="555"/>
      <c r="E1" s="528"/>
      <c r="F1" s="518"/>
    </row>
    <row r="2" spans="1:14" ht="26.25" x14ac:dyDescent="0.4">
      <c r="A2" s="557" t="s">
        <v>22</v>
      </c>
      <c r="B2" s="581"/>
      <c r="C2" s="558"/>
      <c r="D2" s="558"/>
      <c r="E2" s="439"/>
      <c r="F2" s="525" t="str">
        <f>+Stammdaten!D2</f>
        <v>Version 2.0</v>
      </c>
    </row>
    <row r="3" spans="1:14" x14ac:dyDescent="0.25">
      <c r="A3" s="361">
        <f>+Stammdaten!B5</f>
        <v>0</v>
      </c>
      <c r="B3" s="582"/>
      <c r="C3" s="282">
        <f>+Stammdaten!B3</f>
        <v>0</v>
      </c>
      <c r="D3" s="282"/>
      <c r="E3" s="526" t="s">
        <v>36</v>
      </c>
      <c r="F3" s="527"/>
    </row>
    <row r="4" spans="1:14" ht="15.75" thickBot="1" x14ac:dyDescent="0.3">
      <c r="A4" s="372"/>
      <c r="B4" s="373"/>
      <c r="C4" s="114"/>
      <c r="D4" s="114"/>
      <c r="E4" s="114"/>
      <c r="F4" s="191"/>
    </row>
    <row r="5" spans="1:14" ht="323.25" customHeight="1" thickBot="1" x14ac:dyDescent="0.3">
      <c r="A5" s="1031" t="s">
        <v>366</v>
      </c>
      <c r="B5" s="974"/>
      <c r="C5" s="974"/>
      <c r="D5" s="974"/>
      <c r="E5" s="974"/>
      <c r="F5" s="975"/>
      <c r="J5" s="920"/>
    </row>
    <row r="6" spans="1:14" x14ac:dyDescent="0.25">
      <c r="A6" s="372"/>
      <c r="B6" s="373"/>
      <c r="C6" s="114"/>
      <c r="D6" s="114"/>
      <c r="E6" s="114"/>
      <c r="F6" s="191"/>
    </row>
    <row r="7" spans="1:14" x14ac:dyDescent="0.25">
      <c r="A7" s="484" t="s">
        <v>337</v>
      </c>
      <c r="B7" s="944"/>
      <c r="C7" s="945">
        <f>+'Anlage Inflationsraten'!D20</f>
        <v>7235</v>
      </c>
      <c r="D7" s="697" t="s">
        <v>338</v>
      </c>
      <c r="E7" s="946"/>
      <c r="F7" s="947"/>
    </row>
    <row r="8" spans="1:14" x14ac:dyDescent="0.25">
      <c r="A8" s="484" t="s">
        <v>340</v>
      </c>
      <c r="B8" s="944"/>
      <c r="C8" s="948"/>
      <c r="D8" s="697" t="s">
        <v>338</v>
      </c>
      <c r="E8" s="791" t="s">
        <v>339</v>
      </c>
      <c r="F8" s="949"/>
      <c r="G8" s="369" t="str">
        <f>+IF(C8&gt;0,"","Zeile 8 kann nur frei bleiben, wenn erstmals verhandelt wird.")</f>
        <v>Zeile 8 kann nur frei bleiben, wenn erstmals verhandelt wird.</v>
      </c>
    </row>
    <row r="9" spans="1:14" x14ac:dyDescent="0.25">
      <c r="A9" s="505" t="s">
        <v>354</v>
      </c>
      <c r="B9" s="944"/>
      <c r="C9" s="950">
        <f>IF(Stammdaten!B9-F8&gt;=8,C7,IF(AND(F8&lt;=2024,Stammdaten!$B$9=2028),'Anlage Inflationsraten'!D17,C8))</f>
        <v>0</v>
      </c>
      <c r="D9" s="697" t="s">
        <v>338</v>
      </c>
      <c r="E9" s="951"/>
      <c r="F9" s="135"/>
      <c r="G9" s="369" t="str">
        <f>+IF(AND(C8&gt;0,F8=""),"Bitte tragen Sie in Feld F8 das Jahr ein, in dem die bisherige Ausstattungspauschale erstmals vereinbart wurde!","")</f>
        <v/>
      </c>
    </row>
    <row r="10" spans="1:14" x14ac:dyDescent="0.25">
      <c r="A10" s="952"/>
      <c r="B10" s="953"/>
      <c r="C10" s="74"/>
      <c r="D10" s="74"/>
      <c r="E10" s="74"/>
      <c r="F10" s="951"/>
    </row>
    <row r="11" spans="1:14" ht="15.75" thickBot="1" x14ac:dyDescent="0.3">
      <c r="A11" s="221" t="s">
        <v>336</v>
      </c>
      <c r="B11" s="953"/>
      <c r="C11" s="74"/>
      <c r="D11" s="74"/>
      <c r="E11" s="74"/>
      <c r="F11" s="75"/>
    </row>
    <row r="12" spans="1:14" x14ac:dyDescent="0.25">
      <c r="A12" s="1044" t="s">
        <v>367</v>
      </c>
      <c r="B12" s="1045"/>
      <c r="C12" s="1046"/>
      <c r="D12" s="1006"/>
      <c r="E12" s="460" t="str">
        <f>+IF(OR(D14="x",D16="x"),"","Platzzahl:")</f>
        <v>Platzzahl:</v>
      </c>
      <c r="F12" s="466">
        <f>+IF(OR(D14="x",D16="x"),"",Stammdaten!B7)</f>
        <v>0</v>
      </c>
      <c r="G12" s="369" t="str">
        <f>+IF(OR(AND(D12="x",D14="x"),AND(D14="x",D16="x"),AND(D12="x",D16="x")),"Bitte wählen Sie nur EINE der drei Optionen aus!","")</f>
        <v/>
      </c>
    </row>
    <row r="13" spans="1:14" ht="15.75" thickBot="1" x14ac:dyDescent="0.3">
      <c r="A13" s="435"/>
      <c r="B13" s="434"/>
      <c r="C13" s="933" t="s">
        <v>368</v>
      </c>
      <c r="D13" s="1013"/>
      <c r="E13" s="437" t="str">
        <f>+IF(OR(D14="x",D16="x"),"","Ansatz Ausstattung:")</f>
        <v>Ansatz Ausstattung:</v>
      </c>
      <c r="F13" s="465">
        <f>+IF(OR(D14="x",D16="x"),"",F12*C9)</f>
        <v>0</v>
      </c>
      <c r="G13" s="369" t="str">
        <f>+IF(AND(D12="",D14="",D16=""),"Bitte wählen Sie eine der drei Optionen aus und setzen Sie dort ein x!","")</f>
        <v>Bitte wählen Sie eine der drei Optionen aus und setzen Sie dort ein x!</v>
      </c>
      <c r="H13" s="909"/>
      <c r="I13" s="909"/>
      <c r="J13" s="909"/>
      <c r="K13" s="909"/>
      <c r="L13" s="909"/>
      <c r="M13" s="909"/>
      <c r="N13" s="240"/>
    </row>
    <row r="14" spans="1:14" x14ac:dyDescent="0.25">
      <c r="A14" s="1044" t="s">
        <v>342</v>
      </c>
      <c r="B14" s="1045"/>
      <c r="C14" s="1046"/>
      <c r="D14" s="1006"/>
      <c r="E14" s="1068" t="str">
        <f>+IF(D14="x","Ansatz Ausstattung:","")</f>
        <v/>
      </c>
      <c r="F14" s="1070" t="str">
        <f>+IF(D14="x",'Anlage atyp. Ausstattung'!D64,"")</f>
        <v/>
      </c>
      <c r="G14" s="449"/>
    </row>
    <row r="15" spans="1:14" ht="31.5" customHeight="1" thickBot="1" x14ac:dyDescent="0.3">
      <c r="A15" s="1065" t="s">
        <v>369</v>
      </c>
      <c r="B15" s="1066"/>
      <c r="C15" s="1067"/>
      <c r="D15" s="1013"/>
      <c r="E15" s="1069"/>
      <c r="F15" s="1071"/>
      <c r="G15" s="369" t="str">
        <f>+IF(AND(D14="x",F14=0),"Bitte füllen Sie den Reiter Anlage atyp. Ausstattung aus!","")</f>
        <v/>
      </c>
    </row>
    <row r="16" spans="1:14" ht="31.5" customHeight="1" x14ac:dyDescent="0.25">
      <c r="A16" s="1044" t="s">
        <v>350</v>
      </c>
      <c r="B16" s="1045"/>
      <c r="C16" s="1046"/>
      <c r="D16" s="1006"/>
      <c r="E16" s="929" t="str">
        <f>+IF(D16="x","Platzzahl:","")</f>
        <v/>
      </c>
      <c r="F16" s="926" t="str">
        <f>+IF(D16="x",Stammdaten!B7,"")</f>
        <v/>
      </c>
      <c r="G16" s="369" t="str">
        <f>+IF(AND('B_1 Geb. Kaltmiete'!D8="x",D16=""),"Bitte setzen Sie ein x in Feld D16, wenn eine KdU-Berechnung mit Alt-IK erfolgt!","")</f>
        <v/>
      </c>
    </row>
    <row r="17" spans="1:9" x14ac:dyDescent="0.25">
      <c r="A17" s="435"/>
      <c r="B17" s="954"/>
      <c r="C17" s="971" t="s">
        <v>360</v>
      </c>
      <c r="D17" s="1072"/>
      <c r="E17" s="955"/>
      <c r="F17" s="956"/>
      <c r="G17" s="369" t="str">
        <f>+IF(AND('B_1 Geb. Kaltmiete'!D8="",D16="x"),"Fehler! Diese Ausstattungs-Variante ist nur möglich, wenn Sie im Reiter B_1 im Feld D8 die Berechnung mit Alt-IK gewählt haben!","")</f>
        <v/>
      </c>
    </row>
    <row r="18" spans="1:9" ht="31.5" x14ac:dyDescent="0.25">
      <c r="A18" s="1073" t="str">
        <f>+IF(D16="x","Der Alt-IK wurde vor dem Jahr 2016 verhandelt. 
Es sind 3.800 € pro Platz im Alt-IK enthalten. =&gt; 'x' in D18","")</f>
        <v/>
      </c>
      <c r="B18" s="1074"/>
      <c r="C18" s="1075"/>
      <c r="D18" s="927"/>
      <c r="E18" s="957" t="str">
        <f>+IF(AND(D16="x",D18="x",D19=""),"Ansatz Ausstattung:","")</f>
        <v/>
      </c>
      <c r="F18" s="958" t="str">
        <f>+IF(AND(D16="x",D18="x",D19=""),(C9-3800)*F16,"")</f>
        <v/>
      </c>
      <c r="G18" s="369" t="str">
        <f>+IF(AND(D18="x",D19="x"),"Fehler! Bitte setzen Sie ein Kreuz entweder in Feld D18 oder Feld D19","")</f>
        <v/>
      </c>
    </row>
    <row r="19" spans="1:9" ht="32.25" thickBot="1" x14ac:dyDescent="0.3">
      <c r="A19" s="1076" t="str">
        <f>+IF(D16="x","Der Alt-IK wurde in oder nach 2016 verhandelt. 
Es sind 4.200 € pro Platz im Alt-IK enthalten. =&gt; 'x' in D19","")</f>
        <v/>
      </c>
      <c r="B19" s="1077"/>
      <c r="C19" s="1078"/>
      <c r="D19" s="928"/>
      <c r="E19" s="959" t="str">
        <f>+IF(AND(D16="x",D19="x",D18=""),"Ansatz Ausstattung:","")</f>
        <v/>
      </c>
      <c r="F19" s="465" t="str">
        <f>+IF(AND(D16="x",D19="x",D18=""),(C9-4200)*F16,"")</f>
        <v/>
      </c>
      <c r="G19" s="369" t="str">
        <f>+IF(AND(D18="x",D19="x"),"Fehler! Bitte setzen Sie ein Kreuz entweder in Feld D18 oder Feld D19","")</f>
        <v/>
      </c>
    </row>
    <row r="20" spans="1:9" x14ac:dyDescent="0.25">
      <c r="A20" s="372"/>
      <c r="B20" s="373"/>
      <c r="C20" s="114"/>
      <c r="D20" s="114"/>
      <c r="E20" s="114"/>
      <c r="F20" s="191"/>
    </row>
    <row r="21" spans="1:9" ht="30.95" customHeight="1" x14ac:dyDescent="0.25">
      <c r="A21" s="1062" t="s">
        <v>273</v>
      </c>
      <c r="B21" s="1063"/>
      <c r="C21" s="1064"/>
      <c r="D21" s="784" t="s">
        <v>161</v>
      </c>
      <c r="E21" s="487" t="s">
        <v>20</v>
      </c>
      <c r="F21" s="487" t="s">
        <v>19</v>
      </c>
    </row>
    <row r="22" spans="1:9" x14ac:dyDescent="0.25">
      <c r="A22" s="488" t="s">
        <v>149</v>
      </c>
      <c r="B22" s="489"/>
      <c r="C22" s="490"/>
      <c r="D22" s="491"/>
      <c r="E22" s="492" t="e">
        <f>+'A Flächen'!E174</f>
        <v>#DIV/0!</v>
      </c>
      <c r="F22" s="493" t="e">
        <f>+'A Flächen'!E175</f>
        <v>#DIV/0!</v>
      </c>
    </row>
    <row r="23" spans="1:9" x14ac:dyDescent="0.25">
      <c r="A23" s="495" t="s">
        <v>109</v>
      </c>
      <c r="B23" s="496"/>
      <c r="C23" s="496"/>
      <c r="D23" s="383">
        <f>+IF(D12="x",F13,IF(D14="X",F14,IF(AND(D16="x",D18="x"),F18,IF(AND(D16="x",D19="x"),F19,0))))</f>
        <v>0</v>
      </c>
      <c r="E23" s="383" t="e">
        <f>+D23*E22</f>
        <v>#DIV/0!</v>
      </c>
      <c r="F23" s="384" t="e">
        <f>+D23*F22</f>
        <v>#DIV/0!</v>
      </c>
      <c r="H23" s="107" t="s">
        <v>5</v>
      </c>
      <c r="I23" s="160" t="e">
        <f>+D23-E23-F23</f>
        <v>#DIV/0!</v>
      </c>
    </row>
    <row r="24" spans="1:9" x14ac:dyDescent="0.25">
      <c r="A24" s="31"/>
      <c r="B24" s="3"/>
      <c r="C24" s="3"/>
      <c r="D24" s="583"/>
      <c r="E24" s="477"/>
      <c r="F24" s="385"/>
    </row>
    <row r="25" spans="1:9" x14ac:dyDescent="0.25">
      <c r="A25" s="497" t="s">
        <v>23</v>
      </c>
      <c r="B25" s="498"/>
      <c r="C25" s="386">
        <v>0.125</v>
      </c>
      <c r="D25" s="247">
        <f>+D23*0.125</f>
        <v>0</v>
      </c>
      <c r="E25" s="247" t="e">
        <f>+E23*0.125</f>
        <v>#DIV/0!</v>
      </c>
      <c r="F25" s="247" t="e">
        <f>+F23*0.125</f>
        <v>#DIV/0!</v>
      </c>
    </row>
    <row r="26" spans="1:9" x14ac:dyDescent="0.25">
      <c r="A26" s="31"/>
      <c r="B26" s="3"/>
      <c r="C26" s="3"/>
      <c r="D26" s="583"/>
      <c r="E26" s="583"/>
      <c r="F26" s="583"/>
    </row>
    <row r="27" spans="1:9" x14ac:dyDescent="0.25">
      <c r="A27" s="497" t="s">
        <v>24</v>
      </c>
      <c r="B27" s="498"/>
      <c r="C27" s="499"/>
      <c r="D27" s="271"/>
      <c r="E27" s="271"/>
      <c r="F27" s="500"/>
    </row>
    <row r="28" spans="1:9" ht="15.75" thickBot="1" x14ac:dyDescent="0.3">
      <c r="A28" s="31" t="s">
        <v>349</v>
      </c>
      <c r="B28" s="374"/>
      <c r="C28" s="375"/>
      <c r="D28" s="376"/>
      <c r="E28" s="377"/>
      <c r="F28" s="377"/>
    </row>
    <row r="29" spans="1:9" ht="15.75" thickTop="1" x14ac:dyDescent="0.25">
      <c r="A29" s="31" t="s">
        <v>151</v>
      </c>
      <c r="B29" s="387">
        <f>+D23-B28</f>
        <v>0</v>
      </c>
      <c r="C29" s="587" t="s">
        <v>152</v>
      </c>
      <c r="D29" s="378"/>
      <c r="E29" s="379"/>
      <c r="F29" s="379"/>
      <c r="G29" s="71"/>
    </row>
    <row r="30" spans="1:9" x14ac:dyDescent="0.25">
      <c r="A30" s="584" t="s">
        <v>153</v>
      </c>
      <c r="B30" s="352">
        <f>+B29-B31</f>
        <v>0</v>
      </c>
      <c r="C30" s="388">
        <f>+'B_1 Geb. Kaltmiete'!C93</f>
        <v>1.4999999999999999E-2</v>
      </c>
      <c r="D30" s="389">
        <f>+C30*B30</f>
        <v>0</v>
      </c>
      <c r="E30" s="391" t="e">
        <f>+D30*$E$22</f>
        <v>#DIV/0!</v>
      </c>
      <c r="F30" s="391" t="e">
        <f>+D30*$F$22</f>
        <v>#DIV/0!</v>
      </c>
      <c r="G30" s="71"/>
    </row>
    <row r="31" spans="1:9" x14ac:dyDescent="0.25">
      <c r="A31" s="584" t="s">
        <v>154</v>
      </c>
      <c r="B31" s="344"/>
      <c r="C31" s="380"/>
      <c r="D31" s="390">
        <f>+C31*B31</f>
        <v>0</v>
      </c>
      <c r="E31" s="392" t="e">
        <f>+D31*$E$22</f>
        <v>#DIV/0!</v>
      </c>
      <c r="F31" s="392" t="e">
        <f>+D31*$F$22</f>
        <v>#DIV/0!</v>
      </c>
      <c r="G31" s="71"/>
    </row>
    <row r="32" spans="1:9" x14ac:dyDescent="0.25">
      <c r="A32" s="585" t="s">
        <v>24</v>
      </c>
      <c r="B32" s="586"/>
      <c r="C32" s="395"/>
      <c r="D32" s="393">
        <f>SUM(D30:D31)</f>
        <v>0</v>
      </c>
      <c r="E32" s="393" t="e">
        <f>SUM(E30:E31)</f>
        <v>#DIV/0!</v>
      </c>
      <c r="F32" s="393" t="e">
        <f>SUM(F30:F31)</f>
        <v>#DIV/0!</v>
      </c>
      <c r="H32" s="107" t="s">
        <v>5</v>
      </c>
      <c r="I32" s="160" t="e">
        <f>+D32-E32-F32</f>
        <v>#DIV/0!</v>
      </c>
    </row>
    <row r="33" spans="1:9" x14ac:dyDescent="0.25">
      <c r="A33" s="588"/>
      <c r="B33" s="529"/>
      <c r="C33" s="589"/>
      <c r="D33" s="590"/>
      <c r="E33" s="591"/>
      <c r="F33" s="591"/>
      <c r="H33" s="381"/>
    </row>
    <row r="34" spans="1:9" x14ac:dyDescent="0.25">
      <c r="A34" s="585" t="s">
        <v>13</v>
      </c>
      <c r="B34" s="586"/>
      <c r="C34" s="395">
        <v>8.0000000000000002E-3</v>
      </c>
      <c r="D34" s="329">
        <f>+D23*C34</f>
        <v>0</v>
      </c>
      <c r="E34" s="329" t="e">
        <f>+C34*E23</f>
        <v>#DIV/0!</v>
      </c>
      <c r="F34" s="329" t="e">
        <f>+F23*C34</f>
        <v>#DIV/0!</v>
      </c>
      <c r="H34" s="381"/>
    </row>
    <row r="35" spans="1:9" x14ac:dyDescent="0.25">
      <c r="A35" s="592"/>
      <c r="B35" s="593"/>
      <c r="C35" s="594"/>
      <c r="D35" s="333"/>
      <c r="E35" s="595"/>
      <c r="F35" s="595"/>
      <c r="H35" s="381"/>
    </row>
    <row r="36" spans="1:9" x14ac:dyDescent="0.25">
      <c r="A36" s="585" t="s">
        <v>110</v>
      </c>
      <c r="B36" s="586"/>
      <c r="C36" s="489"/>
      <c r="D36" s="329">
        <f>+D34+D32+D25</f>
        <v>0</v>
      </c>
      <c r="E36" s="329" t="e">
        <f>+E34+E32+E25</f>
        <v>#DIV/0!</v>
      </c>
      <c r="F36" s="329" t="e">
        <f>+F34+F32+F25</f>
        <v>#DIV/0!</v>
      </c>
    </row>
    <row r="37" spans="1:9" x14ac:dyDescent="0.25">
      <c r="A37" s="596"/>
      <c r="B37" s="282"/>
      <c r="C37" s="282"/>
      <c r="D37" s="276"/>
      <c r="E37" s="255"/>
      <c r="F37" s="255"/>
    </row>
    <row r="38" spans="1:9" x14ac:dyDescent="0.25">
      <c r="A38" s="597" t="s">
        <v>17</v>
      </c>
      <c r="B38" s="518"/>
      <c r="C38" s="359">
        <f>+'B_1 Geb. Kaltmiete'!B110</f>
        <v>0.96499999999999997</v>
      </c>
      <c r="D38" s="598"/>
      <c r="E38" s="599"/>
      <c r="F38" s="599"/>
    </row>
    <row r="39" spans="1:9" x14ac:dyDescent="0.25">
      <c r="A39" s="31" t="s">
        <v>163</v>
      </c>
      <c r="B39" s="396"/>
      <c r="C39" s="396">
        <f>+Stammdaten!B7*12*C38</f>
        <v>0</v>
      </c>
      <c r="D39" s="396"/>
      <c r="E39" s="600"/>
      <c r="F39" s="600"/>
    </row>
    <row r="40" spans="1:9" ht="18.75" x14ac:dyDescent="0.3">
      <c r="A40" s="508" t="s">
        <v>210</v>
      </c>
      <c r="B40" s="509"/>
      <c r="C40" s="510"/>
      <c r="D40" s="397" t="e">
        <f>+D36/$C$39</f>
        <v>#DIV/0!</v>
      </c>
      <c r="E40" s="397" t="e">
        <f>+E36/$C$39</f>
        <v>#DIV/0!</v>
      </c>
      <c r="F40" s="397" t="e">
        <f>+F36/$C$39</f>
        <v>#DIV/0!</v>
      </c>
      <c r="H40" s="107" t="s">
        <v>5</v>
      </c>
      <c r="I40" s="160" t="e">
        <f>+F40+E40-D40</f>
        <v>#DIV/0!</v>
      </c>
    </row>
    <row r="41" spans="1:9" x14ac:dyDescent="0.25">
      <c r="D41" s="382"/>
      <c r="E41" s="382"/>
      <c r="F41" s="382"/>
    </row>
    <row r="42" spans="1:9" x14ac:dyDescent="0.25">
      <c r="D42" s="382"/>
      <c r="E42" s="382"/>
      <c r="F42" s="382"/>
    </row>
    <row r="43" spans="1:9" x14ac:dyDescent="0.25">
      <c r="D43" s="382"/>
      <c r="E43" s="382"/>
      <c r="F43" s="382"/>
    </row>
    <row r="44" spans="1:9" x14ac:dyDescent="0.25">
      <c r="D44" s="382"/>
      <c r="E44" s="382"/>
      <c r="F44" s="382"/>
    </row>
    <row r="45" spans="1:9" x14ac:dyDescent="0.25">
      <c r="D45" s="382"/>
      <c r="E45" s="382"/>
      <c r="F45" s="382"/>
    </row>
    <row r="46" spans="1:9" x14ac:dyDescent="0.25">
      <c r="D46" s="382"/>
      <c r="E46" s="382"/>
      <c r="F46" s="382"/>
    </row>
    <row r="47" spans="1:9" x14ac:dyDescent="0.25">
      <c r="D47" s="382"/>
      <c r="E47" s="382"/>
      <c r="F47" s="382"/>
    </row>
    <row r="48" spans="1:9" x14ac:dyDescent="0.25">
      <c r="D48" s="382"/>
      <c r="E48" s="382"/>
      <c r="F48" s="382"/>
    </row>
    <row r="49" spans="4:6" x14ac:dyDescent="0.25">
      <c r="D49" s="382"/>
      <c r="E49" s="382"/>
      <c r="F49" s="382"/>
    </row>
    <row r="50" spans="4:6" x14ac:dyDescent="0.25">
      <c r="D50" s="382"/>
      <c r="E50" s="382"/>
      <c r="F50" s="382"/>
    </row>
    <row r="51" spans="4:6" x14ac:dyDescent="0.25">
      <c r="D51" s="382"/>
      <c r="E51" s="382"/>
      <c r="F51" s="382"/>
    </row>
    <row r="52" spans="4:6" x14ac:dyDescent="0.25">
      <c r="D52" s="382"/>
      <c r="E52" s="382"/>
      <c r="F52" s="382"/>
    </row>
    <row r="53" spans="4:6" x14ac:dyDescent="0.25">
      <c r="D53" s="382"/>
      <c r="E53" s="382"/>
      <c r="F53" s="382"/>
    </row>
    <row r="54" spans="4:6" x14ac:dyDescent="0.25">
      <c r="D54" s="382"/>
      <c r="E54" s="382"/>
      <c r="F54" s="382"/>
    </row>
    <row r="55" spans="4:6" x14ac:dyDescent="0.25">
      <c r="D55" s="382"/>
      <c r="E55" s="382"/>
      <c r="F55" s="382"/>
    </row>
    <row r="56" spans="4:6" x14ac:dyDescent="0.25">
      <c r="D56" s="382"/>
      <c r="E56" s="382"/>
      <c r="F56" s="382"/>
    </row>
    <row r="57" spans="4:6" x14ac:dyDescent="0.25">
      <c r="D57" s="382"/>
      <c r="E57" s="382"/>
      <c r="F57" s="382"/>
    </row>
    <row r="58" spans="4:6" x14ac:dyDescent="0.25">
      <c r="D58" s="382"/>
      <c r="E58" s="382"/>
      <c r="F58" s="382"/>
    </row>
    <row r="59" spans="4:6" x14ac:dyDescent="0.25">
      <c r="D59" s="382"/>
      <c r="E59" s="382"/>
      <c r="F59" s="382"/>
    </row>
    <row r="60" spans="4:6" x14ac:dyDescent="0.25">
      <c r="D60" s="382"/>
      <c r="E60" s="382"/>
      <c r="F60" s="382"/>
    </row>
    <row r="61" spans="4:6" x14ac:dyDescent="0.25">
      <c r="D61" s="382"/>
      <c r="E61" s="382"/>
      <c r="F61" s="382"/>
    </row>
    <row r="62" spans="4:6" x14ac:dyDescent="0.25">
      <c r="D62" s="382"/>
      <c r="E62" s="382"/>
      <c r="F62" s="382"/>
    </row>
    <row r="63" spans="4:6" x14ac:dyDescent="0.25">
      <c r="D63" s="382"/>
      <c r="E63" s="382"/>
      <c r="F63" s="382"/>
    </row>
  </sheetData>
  <sheetProtection algorithmName="SHA-512" hashValue="mET00r+f8KK0Bdreb/ynBQ+Zl2HHTILH1lgwvVGq5HsUjNAdnL6PS7+h0Wh+1wgFPMAJxkV45g/tskX4DZeYNA==" saltValue="oqpjJRJTfcRN4OT2Rmao/A==" spinCount="100000" sheet="1" objects="1" scenarios="1"/>
  <mergeCells count="13">
    <mergeCell ref="A21:C21"/>
    <mergeCell ref="A5:F5"/>
    <mergeCell ref="A12:C12"/>
    <mergeCell ref="D12:D13"/>
    <mergeCell ref="A14:C14"/>
    <mergeCell ref="D14:D15"/>
    <mergeCell ref="A15:C15"/>
    <mergeCell ref="E14:E15"/>
    <mergeCell ref="F14:F15"/>
    <mergeCell ref="A16:C16"/>
    <mergeCell ref="D16:D17"/>
    <mergeCell ref="A18:C18"/>
    <mergeCell ref="A19:C19"/>
  </mergeCells>
  <conditionalFormatting sqref="D12:D13">
    <cfRule type="expression" dxfId="38" priority="8">
      <formula>AND($D$12="x",$D$16="x")</formula>
    </cfRule>
    <cfRule type="expression" dxfId="37" priority="17">
      <formula>$D$14="x"</formula>
    </cfRule>
  </conditionalFormatting>
  <conditionalFormatting sqref="D12:D15">
    <cfRule type="expression" dxfId="36" priority="10">
      <formula>AND($D$12="x",$D$14="x")</formula>
    </cfRule>
    <cfRule type="expression" dxfId="35" priority="16">
      <formula>$D$16="x"</formula>
    </cfRule>
  </conditionalFormatting>
  <conditionalFormatting sqref="D14:D15">
    <cfRule type="expression" dxfId="34" priority="13">
      <formula>AND($D$14="x",$D$16="x")</formula>
    </cfRule>
    <cfRule type="expression" dxfId="33" priority="15">
      <formula>$D$12="x"</formula>
    </cfRule>
  </conditionalFormatting>
  <conditionalFormatting sqref="D16:D17">
    <cfRule type="expression" dxfId="32" priority="6">
      <formula>AND($D$12="x",$D$16="x")</formula>
    </cfRule>
    <cfRule type="expression" dxfId="31" priority="7">
      <formula>AND($D$16="x",$D$14="x")</formula>
    </cfRule>
    <cfRule type="expression" dxfId="30" priority="11">
      <formula>$D$14="x"</formula>
    </cfRule>
    <cfRule type="expression" dxfId="29" priority="12">
      <formula>$D$12="x"</formula>
    </cfRule>
  </conditionalFormatting>
  <conditionalFormatting sqref="D18">
    <cfRule type="expression" dxfId="28" priority="3">
      <formula>+AND(D18="x",D19="x")</formula>
    </cfRule>
    <cfRule type="expression" dxfId="27" priority="5">
      <formula>AND(D16="x",D19="")</formula>
    </cfRule>
  </conditionalFormatting>
  <conditionalFormatting sqref="D19">
    <cfRule type="expression" dxfId="26" priority="2">
      <formula>+AND(D18="x",D19="x")</formula>
    </cfRule>
    <cfRule type="expression" dxfId="25" priority="4">
      <formula>AND(D16="x",D18="")</formula>
    </cfRule>
  </conditionalFormatting>
  <conditionalFormatting sqref="I23">
    <cfRule type="expression" dxfId="24" priority="21">
      <formula>OR(I23&lt;-0.0009,I23&gt;0.0009)</formula>
    </cfRule>
  </conditionalFormatting>
  <conditionalFormatting sqref="I32">
    <cfRule type="expression" dxfId="23" priority="20">
      <formula>OR(I32&lt;-0.0009,I32&gt;0.0009)</formula>
    </cfRule>
  </conditionalFormatting>
  <conditionalFormatting sqref="I40">
    <cfRule type="expression" dxfId="22" priority="19">
      <formula>OR(I40&lt;-0.0009,I40&gt;0.0009)</formula>
    </cfRule>
  </conditionalFormatting>
  <pageMargins left="0.7" right="0.7" top="0.78740157499999996" bottom="0.78740157499999996" header="0.3" footer="0.3"/>
  <pageSetup paperSize="9" scale="72" fitToWidth="0"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8"/>
  <sheetViews>
    <sheetView zoomScaleNormal="100" workbookViewId="0">
      <selection activeCell="A5" sqref="A5"/>
    </sheetView>
  </sheetViews>
  <sheetFormatPr baseColWidth="10" defaultColWidth="11.42578125" defaultRowHeight="15" x14ac:dyDescent="0.25"/>
  <cols>
    <col min="1" max="1" width="4.5703125" style="60" customWidth="1"/>
    <col min="2" max="2" width="38" style="60" customWidth="1"/>
    <col min="3" max="3" width="17.85546875" style="60" customWidth="1"/>
    <col min="4" max="4" width="18.140625" style="60" customWidth="1"/>
    <col min="5" max="5" width="17.85546875" style="60" customWidth="1"/>
    <col min="6" max="6" width="19" style="60" customWidth="1"/>
    <col min="7" max="7" width="6.28515625" style="60" customWidth="1"/>
    <col min="8" max="8" width="9" style="60" customWidth="1"/>
    <col min="9" max="9" width="11.42578125" style="60"/>
    <col min="10" max="10" width="15.42578125" style="60" customWidth="1"/>
    <col min="11" max="16384" width="11.42578125" style="60"/>
  </cols>
  <sheetData>
    <row r="1" spans="1:11" s="135" customFormat="1" ht="26.25" x14ac:dyDescent="0.4">
      <c r="A1" s="512" t="s">
        <v>92</v>
      </c>
      <c r="B1" s="616"/>
      <c r="C1" s="1"/>
      <c r="D1" s="1"/>
      <c r="E1" s="1"/>
      <c r="F1" s="482"/>
    </row>
    <row r="2" spans="1:11" s="135" customFormat="1" ht="26.25" x14ac:dyDescent="0.4">
      <c r="A2" s="514" t="s">
        <v>227</v>
      </c>
      <c r="B2" s="2"/>
      <c r="C2" s="3"/>
      <c r="D2" s="3"/>
      <c r="E2" s="3"/>
      <c r="F2" s="515" t="str">
        <f>+Stammdaten!D2</f>
        <v>Version 2.0</v>
      </c>
    </row>
    <row r="3" spans="1:11" s="135" customFormat="1" ht="19.5" thickBot="1" x14ac:dyDescent="0.35">
      <c r="A3" s="4">
        <f>+Stammdaten!A3</f>
        <v>0</v>
      </c>
      <c r="B3" s="617"/>
      <c r="C3" s="5"/>
      <c r="D3" s="6">
        <f>+Stammdaten!B3</f>
        <v>0</v>
      </c>
      <c r="E3" s="618"/>
      <c r="F3" s="619" t="s">
        <v>36</v>
      </c>
    </row>
    <row r="4" spans="1:11" s="135" customFormat="1" ht="78.95" customHeight="1" thickBot="1" x14ac:dyDescent="0.3">
      <c r="A4" s="1083" t="s">
        <v>246</v>
      </c>
      <c r="B4" s="1084"/>
      <c r="C4" s="1085"/>
      <c r="D4" s="1085"/>
      <c r="E4" s="1085"/>
      <c r="F4" s="1086"/>
      <c r="H4" s="312"/>
    </row>
    <row r="5" spans="1:11" s="135" customFormat="1" ht="19.5" customHeight="1" x14ac:dyDescent="0.4">
      <c r="A5" s="73"/>
      <c r="B5" s="403"/>
      <c r="C5" s="74"/>
      <c r="D5" s="74"/>
      <c r="E5" s="74"/>
      <c r="F5" s="75"/>
      <c r="H5" s="312"/>
      <c r="K5" s="335"/>
    </row>
    <row r="6" spans="1:11" s="135" customFormat="1" x14ac:dyDescent="0.25">
      <c r="A6" s="484" t="s">
        <v>230</v>
      </c>
      <c r="B6" s="613"/>
      <c r="C6" s="614"/>
      <c r="D6" s="615"/>
      <c r="E6" s="8" t="e">
        <f>+'Erg.-Übersicht'!B14</f>
        <v>#DIV/0!</v>
      </c>
      <c r="F6" s="75"/>
      <c r="H6" s="312"/>
      <c r="K6" s="335"/>
    </row>
    <row r="7" spans="1:11" s="135" customFormat="1" x14ac:dyDescent="0.25">
      <c r="A7" s="484" t="s">
        <v>231</v>
      </c>
      <c r="B7" s="613"/>
      <c r="C7" s="614"/>
      <c r="D7" s="615"/>
      <c r="E7" s="9">
        <f>+Stammdaten!B7</f>
        <v>0</v>
      </c>
      <c r="F7" s="75"/>
      <c r="H7" s="312"/>
      <c r="K7" s="335"/>
    </row>
    <row r="8" spans="1:11" s="135" customFormat="1" x14ac:dyDescent="0.25">
      <c r="A8" s="484" t="s">
        <v>232</v>
      </c>
      <c r="B8" s="613"/>
      <c r="C8" s="614"/>
      <c r="D8" s="615"/>
      <c r="E8" s="8" t="e">
        <f>+E6*E7</f>
        <v>#DIV/0!</v>
      </c>
      <c r="F8" s="75"/>
      <c r="H8" s="312"/>
      <c r="K8" s="335"/>
    </row>
    <row r="9" spans="1:11" s="135" customFormat="1" ht="15.75" thickBot="1" x14ac:dyDescent="0.3">
      <c r="A9" s="221"/>
      <c r="B9" s="405"/>
      <c r="C9" s="74"/>
      <c r="D9" s="74"/>
      <c r="E9" s="3"/>
      <c r="F9" s="75"/>
      <c r="H9" s="312"/>
      <c r="K9" s="335"/>
    </row>
    <row r="10" spans="1:11" s="135" customFormat="1" ht="18.75" x14ac:dyDescent="0.3">
      <c r="A10" s="1089"/>
      <c r="B10" s="608" t="s">
        <v>239</v>
      </c>
      <c r="C10" s="609"/>
      <c r="D10" s="609"/>
      <c r="E10" s="610"/>
      <c r="F10" s="75"/>
      <c r="H10" s="312"/>
      <c r="K10" s="335"/>
    </row>
    <row r="11" spans="1:11" s="135" customFormat="1" ht="15.75" thickBot="1" x14ac:dyDescent="0.3">
      <c r="A11" s="1090"/>
      <c r="B11" s="972" t="s">
        <v>240</v>
      </c>
      <c r="C11" s="611"/>
      <c r="D11" s="611"/>
      <c r="E11" s="612"/>
      <c r="F11" s="75"/>
      <c r="H11" s="312"/>
      <c r="K11" s="335"/>
    </row>
    <row r="12" spans="1:11" s="135" customFormat="1" x14ac:dyDescent="0.25">
      <c r="A12" s="480" t="s">
        <v>233</v>
      </c>
      <c r="B12" s="605"/>
      <c r="C12" s="3" t="s">
        <v>243</v>
      </c>
      <c r="D12" s="606" t="s">
        <v>145</v>
      </c>
      <c r="E12" s="607"/>
      <c r="F12" s="75"/>
      <c r="H12" s="312"/>
      <c r="K12" s="335"/>
    </row>
    <row r="13" spans="1:11" s="135" customFormat="1" ht="18.75" x14ac:dyDescent="0.3">
      <c r="A13" s="1091" t="s">
        <v>228</v>
      </c>
      <c r="B13" s="1092"/>
      <c r="C13" s="406"/>
      <c r="D13" s="407"/>
      <c r="E13" s="10">
        <f>+D13*C13</f>
        <v>0</v>
      </c>
      <c r="F13" s="75"/>
      <c r="H13" s="312"/>
      <c r="K13" s="335"/>
    </row>
    <row r="14" spans="1:11" s="135" customFormat="1" ht="19.5" thickBot="1" x14ac:dyDescent="0.35">
      <c r="A14" s="1093" t="s">
        <v>229</v>
      </c>
      <c r="B14" s="1094"/>
      <c r="C14" s="58">
        <f>IF((D14)&gt;0,(E8-E13)/D14,0)</f>
        <v>0</v>
      </c>
      <c r="D14" s="11">
        <f>IF((E7-D13)&gt;0,E7-D13,0)</f>
        <v>0</v>
      </c>
      <c r="E14" s="12">
        <f t="shared" ref="E14" si="0">+D14*C14</f>
        <v>0</v>
      </c>
      <c r="F14" s="75"/>
      <c r="H14" s="425" t="str">
        <f>IF(A10="X",D15-E7,"")</f>
        <v/>
      </c>
      <c r="I14" s="426" t="str">
        <f>IF(A10="x","Kontrolle Platzzahl","")</f>
        <v/>
      </c>
      <c r="K14" s="335"/>
    </row>
    <row r="15" spans="1:11" s="135" customFormat="1" ht="16.5" thickTop="1" thickBot="1" x14ac:dyDescent="0.3">
      <c r="A15" s="409"/>
      <c r="B15" s="604" t="s">
        <v>245</v>
      </c>
      <c r="C15" s="55" t="e">
        <f>+(C13*D13+C14*D14)/D15</f>
        <v>#DIV/0!</v>
      </c>
      <c r="D15" s="56">
        <f>+SUM(D13:D14)</f>
        <v>0</v>
      </c>
      <c r="E15" s="57">
        <f>+SUM(E13:E14)</f>
        <v>0</v>
      </c>
      <c r="F15" s="75"/>
      <c r="H15" s="427" t="str">
        <f>IF(A10="X",ROUND(E6-C15,2),"")</f>
        <v/>
      </c>
      <c r="I15" s="426" t="str">
        <f>IF(A10="X","Kontrolle Kaltmiete pro Platz","")</f>
        <v/>
      </c>
      <c r="K15" s="335"/>
    </row>
    <row r="16" spans="1:11" ht="15.75" thickBot="1" x14ac:dyDescent="0.3">
      <c r="A16" s="433" t="str">
        <f>+IF(AND(A10="x",A17="x"),"Bitte wählen Sie ENTWEDER 2 ODER 3 Zimmerkategorien","")</f>
        <v/>
      </c>
      <c r="B16" s="410"/>
      <c r="C16" s="410"/>
      <c r="D16" s="410"/>
      <c r="E16" s="410"/>
      <c r="F16" s="81"/>
      <c r="G16" s="71"/>
      <c r="H16" s="427" t="str">
        <f>IF(A10="X",ROUND(E8-E15,2),"")</f>
        <v/>
      </c>
      <c r="I16" s="426" t="str">
        <f>IF(A10="X","Kontrolle Kaltmiete gesamt","")</f>
        <v/>
      </c>
      <c r="K16" s="76"/>
    </row>
    <row r="17" spans="1:11" s="135" customFormat="1" ht="18.75" x14ac:dyDescent="0.3">
      <c r="A17" s="1089"/>
      <c r="B17" s="608" t="s">
        <v>238</v>
      </c>
      <c r="C17" s="609"/>
      <c r="D17" s="609"/>
      <c r="E17" s="610"/>
      <c r="F17" s="75"/>
      <c r="H17" s="312"/>
      <c r="K17" s="335"/>
    </row>
    <row r="18" spans="1:11" s="135" customFormat="1" ht="15.75" thickBot="1" x14ac:dyDescent="0.3">
      <c r="A18" s="1090"/>
      <c r="B18" s="972" t="s">
        <v>237</v>
      </c>
      <c r="C18" s="611"/>
      <c r="D18" s="611"/>
      <c r="E18" s="612"/>
      <c r="F18" s="75"/>
      <c r="H18" s="312"/>
      <c r="K18" s="335"/>
    </row>
    <row r="19" spans="1:11" s="135" customFormat="1" x14ac:dyDescent="0.25">
      <c r="A19" s="480" t="s">
        <v>233</v>
      </c>
      <c r="B19" s="605"/>
      <c r="C19" s="3" t="s">
        <v>243</v>
      </c>
      <c r="D19" s="606" t="s">
        <v>145</v>
      </c>
      <c r="E19" s="607"/>
      <c r="F19" s="75"/>
      <c r="H19" s="312"/>
      <c r="K19" s="335"/>
    </row>
    <row r="20" spans="1:11" s="135" customFormat="1" ht="18.75" x14ac:dyDescent="0.3">
      <c r="A20" s="1091" t="s">
        <v>228</v>
      </c>
      <c r="B20" s="1092"/>
      <c r="C20" s="406"/>
      <c r="D20" s="407"/>
      <c r="E20" s="10">
        <f>+D20*C20</f>
        <v>0</v>
      </c>
      <c r="F20" s="75"/>
      <c r="H20" s="312"/>
      <c r="K20" s="335"/>
    </row>
    <row r="21" spans="1:11" s="135" customFormat="1" ht="18.75" x14ac:dyDescent="0.3">
      <c r="A21" s="1091" t="s">
        <v>229</v>
      </c>
      <c r="B21" s="1092"/>
      <c r="C21" s="406"/>
      <c r="D21" s="407"/>
      <c r="E21" s="10">
        <f>+D21*C21</f>
        <v>0</v>
      </c>
      <c r="F21" s="75"/>
      <c r="H21" s="312"/>
      <c r="K21" s="335"/>
    </row>
    <row r="22" spans="1:11" s="135" customFormat="1" ht="19.5" thickBot="1" x14ac:dyDescent="0.35">
      <c r="A22" s="1093" t="s">
        <v>372</v>
      </c>
      <c r="B22" s="1094"/>
      <c r="C22" s="58">
        <f>IF((D22)&gt;0,(E8-E20-E21)/D22,0)</f>
        <v>0</v>
      </c>
      <c r="D22" s="11">
        <f>IF((E7-D20-D21)&gt;0,E7-D20-D21,0)</f>
        <v>0</v>
      </c>
      <c r="E22" s="12">
        <f t="shared" ref="E22" si="1">+D22*C22</f>
        <v>0</v>
      </c>
      <c r="F22" s="75"/>
      <c r="H22" s="425" t="str">
        <f>IF(A17="X",D23-E7,"")</f>
        <v/>
      </c>
      <c r="I22" s="426" t="str">
        <f>IF(A17="x","Kontrolle Platzzahl","")</f>
        <v/>
      </c>
      <c r="K22" s="335"/>
    </row>
    <row r="23" spans="1:11" s="135" customFormat="1" ht="16.5" thickTop="1" thickBot="1" x14ac:dyDescent="0.3">
      <c r="A23" s="409"/>
      <c r="B23" s="604" t="s">
        <v>245</v>
      </c>
      <c r="C23" s="55" t="e">
        <f>+(C20*D20+C21*D21+C22*D22)/D23</f>
        <v>#DIV/0!</v>
      </c>
      <c r="D23" s="56">
        <f>+SUM(D20:D22)</f>
        <v>0</v>
      </c>
      <c r="E23" s="57">
        <f>+SUM(E20:E22)</f>
        <v>0</v>
      </c>
      <c r="F23" s="75"/>
      <c r="H23" s="425" t="str">
        <f>IF(A17="X",ROUND(E6-C23,2),"")</f>
        <v/>
      </c>
      <c r="I23" s="426" t="str">
        <f>IF(A17="x","Kontrolle Kaltmiete pro Platz","")</f>
        <v/>
      </c>
      <c r="K23" s="335"/>
    </row>
    <row r="24" spans="1:11" s="135" customFormat="1" ht="25.5" customHeight="1" x14ac:dyDescent="0.25">
      <c r="A24" s="85"/>
      <c r="B24" s="411"/>
      <c r="C24" s="86"/>
      <c r="D24" s="86"/>
      <c r="E24" s="86"/>
      <c r="F24" s="152"/>
      <c r="H24" s="428" t="str">
        <f>IF(A17="X",ROUND(E8-E23,2),"")</f>
        <v/>
      </c>
      <c r="I24" s="429" t="str">
        <f>IF(A17="x","Kontrolle Kaltmiete gesamt","")</f>
        <v/>
      </c>
      <c r="K24" s="335"/>
    </row>
    <row r="25" spans="1:11" s="135" customFormat="1" ht="26.25" x14ac:dyDescent="0.4">
      <c r="A25" s="514" t="s">
        <v>174</v>
      </c>
      <c r="B25" s="2"/>
      <c r="C25" s="59" t="str">
        <f>IF(A10="x",A13,IF(A17="x",A20,""))</f>
        <v/>
      </c>
      <c r="D25" s="59" t="str">
        <f>IF(A10="x",A14,IF(A17="x",A21,""))</f>
        <v/>
      </c>
      <c r="E25" s="59" t="str">
        <f>IF(A10="x","",IF(A17="x",A22,""))</f>
        <v/>
      </c>
      <c r="F25" s="7"/>
      <c r="G25" s="412"/>
      <c r="H25" s="413"/>
      <c r="I25" s="79"/>
      <c r="J25" s="79"/>
    </row>
    <row r="26" spans="1:11" s="135" customFormat="1" ht="30.75" x14ac:dyDescent="0.3">
      <c r="A26" s="14"/>
      <c r="B26" s="15"/>
      <c r="C26" s="16" t="s">
        <v>175</v>
      </c>
      <c r="D26" s="16" t="s">
        <v>175</v>
      </c>
      <c r="E26" s="16" t="s">
        <v>175</v>
      </c>
      <c r="F26" s="17" t="s">
        <v>176</v>
      </c>
      <c r="G26" s="414"/>
      <c r="H26" s="413"/>
      <c r="I26" s="79"/>
      <c r="J26" s="79"/>
    </row>
    <row r="27" spans="1:11" s="135" customFormat="1" ht="18.75" x14ac:dyDescent="0.3">
      <c r="A27" s="14" t="s">
        <v>145</v>
      </c>
      <c r="B27" s="15"/>
      <c r="C27" s="18">
        <f>IF(A10="x",D13,IF(A17="x",D20,E7))</f>
        <v>0</v>
      </c>
      <c r="D27" s="18" t="str">
        <f>IF(A10="x",D14,IF(A17="x",D21,""))</f>
        <v/>
      </c>
      <c r="E27" s="18" t="str">
        <f>IF(A10="x","",IF(A17="x",D22,""))</f>
        <v/>
      </c>
      <c r="F27" s="19">
        <f>+E7</f>
        <v>0</v>
      </c>
      <c r="G27" s="415"/>
      <c r="H27" s="425">
        <f>IF(A10="x",C27+D27-E7,IF(A17="x",C27+D27+E27-E7,C27-E7))</f>
        <v>0</v>
      </c>
      <c r="I27" s="426" t="s">
        <v>234</v>
      </c>
      <c r="J27" s="416"/>
      <c r="K27" s="408"/>
    </row>
    <row r="28" spans="1:11" s="135" customFormat="1" ht="18.75" x14ac:dyDescent="0.3">
      <c r="A28" s="20" t="s">
        <v>180</v>
      </c>
      <c r="B28" s="21"/>
      <c r="C28" s="22" t="e">
        <f>IF(A10="x",C13,IF(A17="x",C20,E6))</f>
        <v>#DIV/0!</v>
      </c>
      <c r="D28" s="22" t="str">
        <f>IF(A10="x",C14,IF(A17="x",C21,""))</f>
        <v/>
      </c>
      <c r="E28" s="22" t="str">
        <f>IF(A10="x","",IF(A17="x",C22,""))</f>
        <v/>
      </c>
      <c r="F28" s="22" t="e">
        <f>+'Erg.-Übersicht'!C14</f>
        <v>#DIV/0!</v>
      </c>
      <c r="G28" s="417"/>
      <c r="H28" s="427" t="e">
        <f>ROUNDDOWN(IF(A10="x",(C27*C28+D27*D28-E8),IF(A17="x",(C28*C27+D28*D27+E28*E27)-E8,C28*C27-E8)),0)</f>
        <v>#DIV/0!</v>
      </c>
      <c r="I28" s="426" t="s">
        <v>235</v>
      </c>
      <c r="J28" s="416"/>
      <c r="K28" s="408"/>
    </row>
    <row r="29" spans="1:11" s="135" customFormat="1" ht="18.75" x14ac:dyDescent="0.3">
      <c r="A29" s="20" t="s">
        <v>60</v>
      </c>
      <c r="B29" s="23"/>
      <c r="C29" s="24" t="e">
        <f>'Erg.-Übersicht'!B15</f>
        <v>#DIV/0!</v>
      </c>
      <c r="D29" s="24" t="str">
        <f>IF(A10="x",'Erg.-Übersicht'!B15,IF(A17="X",'Erg.-Übersicht'!B15,""))</f>
        <v/>
      </c>
      <c r="E29" s="24" t="str">
        <f>IF(A10="x","",IF(A17="x",'Erg.-Übersicht'!B15,""))</f>
        <v/>
      </c>
      <c r="F29" s="22" t="e">
        <f>+'Erg.-Übersicht'!C15</f>
        <v>#DIV/0!</v>
      </c>
      <c r="G29" s="417"/>
      <c r="H29" s="413"/>
      <c r="I29" s="79"/>
      <c r="J29" s="416"/>
      <c r="K29" s="408"/>
    </row>
    <row r="30" spans="1:11" s="135" customFormat="1" ht="18.75" x14ac:dyDescent="0.3">
      <c r="A30" s="20" t="s">
        <v>114</v>
      </c>
      <c r="B30" s="21"/>
      <c r="C30" s="22" t="e">
        <f>+'Erg.-Übersicht'!B16</f>
        <v>#VALUE!</v>
      </c>
      <c r="D30" s="22" t="str">
        <f>IF(A10="x",'Erg.-Übersicht'!B16,IF(A17="X",'Erg.-Übersicht'!B16,""))</f>
        <v/>
      </c>
      <c r="E30" s="22" t="str">
        <f>IF(A10="x","",IF(A17="x",'Erg.-Übersicht'!B16,""))</f>
        <v/>
      </c>
      <c r="F30" s="22" t="e">
        <f>+'Erg.-Übersicht'!C16</f>
        <v>#VALUE!</v>
      </c>
      <c r="G30" s="417"/>
      <c r="H30" s="413"/>
      <c r="I30" s="79"/>
      <c r="J30" s="416"/>
      <c r="K30" s="408"/>
    </row>
    <row r="31" spans="1:11" s="135" customFormat="1" ht="18.75" x14ac:dyDescent="0.3">
      <c r="A31" s="20" t="s">
        <v>224</v>
      </c>
      <c r="B31" s="21"/>
      <c r="C31" s="22">
        <f>+'Erg.-Übersicht'!B17</f>
        <v>0</v>
      </c>
      <c r="D31" s="22" t="str">
        <f>IF(A10="x",'Erg.-Übersicht'!B17,IF(A17="X",'Erg.-Übersicht'!B17,""))</f>
        <v/>
      </c>
      <c r="E31" s="22" t="str">
        <f>IF(A10="x","",IF(A17="x",'Erg.-Übersicht'!B17,""))</f>
        <v/>
      </c>
      <c r="F31" s="22" t="e">
        <f>+'Erg.-Übersicht'!C17</f>
        <v>#DIV/0!</v>
      </c>
      <c r="G31" s="417"/>
      <c r="H31" s="413"/>
      <c r="I31" s="79"/>
      <c r="J31" s="416"/>
      <c r="K31" s="408"/>
    </row>
    <row r="32" spans="1:11" s="135" customFormat="1" ht="18.75" x14ac:dyDescent="0.3">
      <c r="A32" s="20" t="s">
        <v>225</v>
      </c>
      <c r="B32" s="21"/>
      <c r="C32" s="22">
        <f>+'Erg.-Übersicht'!B18</f>
        <v>0</v>
      </c>
      <c r="D32" s="22" t="str">
        <f>IF(A10="x",'Erg.-Übersicht'!B18,IF(A17="X",'Erg.-Übersicht'!B18,""))</f>
        <v/>
      </c>
      <c r="E32" s="22" t="str">
        <f>IF(A10="x","",IF(A17="x",'Erg.-Übersicht'!B18,""))</f>
        <v/>
      </c>
      <c r="F32" s="22">
        <f>+'Erg.-Übersicht'!C18</f>
        <v>0</v>
      </c>
      <c r="G32" s="417"/>
      <c r="H32" s="413"/>
      <c r="I32" s="79"/>
      <c r="J32" s="416"/>
      <c r="K32" s="408"/>
    </row>
    <row r="33" spans="1:11" s="135" customFormat="1" ht="19.5" thickBot="1" x14ac:dyDescent="0.35">
      <c r="A33" s="25" t="s">
        <v>226</v>
      </c>
      <c r="B33" s="26"/>
      <c r="C33" s="27">
        <f>+'Erg.-Übersicht'!B19</f>
        <v>0</v>
      </c>
      <c r="D33" s="27" t="str">
        <f>IF(A10="x",'Erg.-Übersicht'!B19,IF(A17="X",'Erg.-Übersicht'!B19,""))</f>
        <v/>
      </c>
      <c r="E33" s="27" t="str">
        <f>IF(A10="x","",IF(A17="x",'Erg.-Übersicht'!B19,""))</f>
        <v/>
      </c>
      <c r="F33" s="27">
        <f>+'Erg.-Übersicht'!C19</f>
        <v>0</v>
      </c>
      <c r="G33" s="417"/>
      <c r="H33" s="413"/>
      <c r="I33" s="79"/>
      <c r="J33" s="416"/>
      <c r="K33" s="408"/>
    </row>
    <row r="34" spans="1:11" s="135" customFormat="1" ht="19.5" thickTop="1" x14ac:dyDescent="0.3">
      <c r="A34" s="28" t="s">
        <v>181</v>
      </c>
      <c r="B34" s="29"/>
      <c r="C34" s="30" t="e">
        <f>SUM(C28:C33)</f>
        <v>#DIV/0!</v>
      </c>
      <c r="D34" s="30" t="str">
        <f>IF(A10="x",SUM(D28:D33),IF(A17="X",SUM(D28:D33),""))</f>
        <v/>
      </c>
      <c r="E34" s="30" t="str">
        <f>IF(A10="x","",IF(A17="x",SUM(E28:E33),""))</f>
        <v/>
      </c>
      <c r="F34" s="30" t="e">
        <f>+SUM(F28:F33)</f>
        <v>#DIV/0!</v>
      </c>
      <c r="G34" s="417"/>
      <c r="H34" s="427" t="e">
        <f>ROUNDDOWN(IF(A10="x",(C34*C27+D34*D27+F34*F27)-'Erg.-Übersicht'!D20*'Erg.-Übersicht'!D8,IF(A17="x",(C34*C27+D34*D27+E34*E27+F34*F27)-'Erg.-Übersicht'!D20*'Erg.-Übersicht'!D8,C34*C27+F34*F27-'Erg.-Übersicht'!D20*'Erg.-Übersicht'!D8)),0)</f>
        <v>#DIV/0!</v>
      </c>
      <c r="I34" s="426" t="s">
        <v>242</v>
      </c>
      <c r="J34" s="416"/>
      <c r="K34" s="408"/>
    </row>
    <row r="35" spans="1:11" s="135" customFormat="1" ht="15.75" thickBot="1" x14ac:dyDescent="0.3">
      <c r="A35" s="31"/>
      <c r="B35" s="3"/>
      <c r="C35" s="32"/>
      <c r="D35" s="32"/>
      <c r="E35" s="32"/>
      <c r="F35" s="33"/>
      <c r="G35" s="413"/>
      <c r="H35" s="413"/>
      <c r="I35" s="79"/>
      <c r="J35" s="416"/>
      <c r="K35" s="408"/>
    </row>
    <row r="36" spans="1:11" s="135" customFormat="1" ht="19.5" thickTop="1" x14ac:dyDescent="0.3">
      <c r="A36" s="34" t="s">
        <v>183</v>
      </c>
      <c r="B36" s="35"/>
      <c r="C36" s="985" t="e">
        <f>IF(C34&gt;'Erg.-Übersicht'!B51,'Erg.-Übersicht'!B51,C34)</f>
        <v>#DIV/0!</v>
      </c>
      <c r="D36" s="985" t="str">
        <f>IF(A10="x",IF(D34&gt;'Erg.-Übersicht'!B51,'Erg.-Übersicht'!B51,D34),IF(A17="x",IF(D34&gt;'Erg.-Übersicht'!B51,'Erg.-Übersicht'!B51,D34),""))</f>
        <v/>
      </c>
      <c r="E36" s="985" t="str">
        <f>IF(A10="x","",IF(A17="x",IF(E34&gt;'Erg.-Übersicht'!B51,'Erg.-Übersicht'!B51,E34),""))</f>
        <v/>
      </c>
      <c r="F36" s="987"/>
      <c r="G36" s="418"/>
      <c r="H36" s="413"/>
      <c r="I36" s="79"/>
      <c r="J36" s="416"/>
      <c r="K36" s="408"/>
    </row>
    <row r="37" spans="1:11" s="135" customFormat="1" ht="15.75" thickBot="1" x14ac:dyDescent="0.3">
      <c r="A37" s="511" t="s">
        <v>184</v>
      </c>
      <c r="B37" s="36"/>
      <c r="C37" s="986"/>
      <c r="D37" s="986"/>
      <c r="E37" s="986"/>
      <c r="F37" s="988"/>
      <c r="G37" s="419"/>
      <c r="H37" s="413"/>
      <c r="I37" s="79"/>
      <c r="J37" s="416"/>
      <c r="K37" s="408"/>
    </row>
    <row r="38" spans="1:11" s="135" customFormat="1" ht="15.75" thickTop="1" x14ac:dyDescent="0.25">
      <c r="A38" s="602" t="e">
        <f>+IF(#REF!&lt;0,"Achtung! Da KdU&lt;100% ggfs Regelsatz-Absenkung für Nebenkosten wegen anderweitiger Bedarfsdeckung","")</f>
        <v>#REF!</v>
      </c>
      <c r="B38" s="37"/>
      <c r="C38" s="3"/>
      <c r="D38" s="3"/>
      <c r="E38" s="3"/>
      <c r="F38" s="7"/>
      <c r="G38" s="412"/>
      <c r="H38" s="413"/>
      <c r="I38" s="79"/>
      <c r="J38" s="416"/>
      <c r="K38" s="408"/>
    </row>
    <row r="39" spans="1:11" s="135" customFormat="1" ht="18.75" x14ac:dyDescent="0.3">
      <c r="A39" s="892" t="s">
        <v>185</v>
      </c>
      <c r="B39" s="901"/>
      <c r="C39" s="978" t="e">
        <f>+IF(C34-C36&gt;0,C34-C36,0)</f>
        <v>#DIV/0!</v>
      </c>
      <c r="D39" s="978" t="str">
        <f>IF(A10="x",D34-D36,IF(A17="X",D34-D36,""))</f>
        <v/>
      </c>
      <c r="E39" s="978" t="str">
        <f>IF(A10="x","",IF(A17="x",E34-E36,""))</f>
        <v/>
      </c>
      <c r="F39" s="976"/>
      <c r="G39" s="418"/>
      <c r="H39" s="413"/>
      <c r="I39" s="79"/>
      <c r="J39" s="416"/>
      <c r="K39" s="408"/>
    </row>
    <row r="40" spans="1:11" s="135" customFormat="1" x14ac:dyDescent="0.25">
      <c r="A40" s="893" t="s">
        <v>236</v>
      </c>
      <c r="B40" s="902"/>
      <c r="C40" s="979"/>
      <c r="D40" s="979"/>
      <c r="E40" s="979"/>
      <c r="F40" s="1088"/>
      <c r="G40" s="419"/>
      <c r="H40" s="413"/>
      <c r="I40" s="79"/>
      <c r="J40" s="416"/>
      <c r="K40" s="408"/>
    </row>
    <row r="41" spans="1:11" s="135" customFormat="1" x14ac:dyDescent="0.25">
      <c r="A41" s="893"/>
      <c r="B41" s="902"/>
      <c r="C41" s="894" t="s">
        <v>334</v>
      </c>
      <c r="D41" s="894" t="s">
        <v>334</v>
      </c>
      <c r="E41" s="894" t="s">
        <v>334</v>
      </c>
      <c r="F41" s="895"/>
      <c r="G41" s="419"/>
      <c r="H41" s="413"/>
      <c r="I41" s="79"/>
      <c r="J41" s="416"/>
      <c r="K41" s="408"/>
    </row>
    <row r="42" spans="1:11" s="135" customFormat="1" x14ac:dyDescent="0.25">
      <c r="A42" s="903"/>
      <c r="B42" s="904"/>
      <c r="C42" s="897" t="e">
        <f>+C39/30.42</f>
        <v>#DIV/0!</v>
      </c>
      <c r="D42" s="897" t="e">
        <f>+D39/30.42</f>
        <v>#VALUE!</v>
      </c>
      <c r="E42" s="897" t="e">
        <f>+E39/30.42</f>
        <v>#VALUE!</v>
      </c>
      <c r="F42" s="898"/>
      <c r="G42" s="419"/>
      <c r="H42" s="413"/>
      <c r="I42" s="79"/>
      <c r="J42" s="416"/>
      <c r="K42" s="408"/>
    </row>
    <row r="43" spans="1:11" s="135" customFormat="1" ht="18.75" x14ac:dyDescent="0.3">
      <c r="A43" s="892" t="s">
        <v>186</v>
      </c>
      <c r="B43" s="905"/>
      <c r="C43" s="976" t="e">
        <f>F34</f>
        <v>#DIV/0!</v>
      </c>
      <c r="D43" s="976" t="str">
        <f>IF(A10="x",F34,IF(A17="x",F34,""))</f>
        <v/>
      </c>
      <c r="E43" s="976" t="str">
        <f>IF(A10="x","",IF(A17="x",F34,""))</f>
        <v/>
      </c>
      <c r="F43" s="978" t="e">
        <f>+F34</f>
        <v>#DIV/0!</v>
      </c>
      <c r="G43" s="418"/>
      <c r="H43" s="413"/>
      <c r="I43" s="79"/>
      <c r="J43" s="416"/>
      <c r="K43" s="408"/>
    </row>
    <row r="44" spans="1:11" s="135" customFormat="1" ht="18.75" x14ac:dyDescent="0.3">
      <c r="A44" s="900" t="s">
        <v>187</v>
      </c>
      <c r="B44" s="906"/>
      <c r="C44" s="1087"/>
      <c r="D44" s="1087"/>
      <c r="E44" s="1087"/>
      <c r="F44" s="979"/>
      <c r="G44" s="419"/>
      <c r="H44" s="413"/>
      <c r="I44" s="79"/>
      <c r="J44" s="416"/>
      <c r="K44" s="408"/>
    </row>
    <row r="45" spans="1:11" s="135" customFormat="1" x14ac:dyDescent="0.25">
      <c r="A45" s="907"/>
      <c r="B45" s="908"/>
      <c r="C45" s="896" t="s">
        <v>334</v>
      </c>
      <c r="D45" s="896" t="s">
        <v>334</v>
      </c>
      <c r="E45" s="896" t="s">
        <v>334</v>
      </c>
      <c r="F45" s="894" t="s">
        <v>334</v>
      </c>
      <c r="G45" s="419"/>
      <c r="H45" s="413"/>
      <c r="I45" s="79"/>
      <c r="J45" s="416"/>
      <c r="K45" s="408"/>
    </row>
    <row r="46" spans="1:11" s="135" customFormat="1" ht="15.75" thickBot="1" x14ac:dyDescent="0.3">
      <c r="A46" s="907"/>
      <c r="B46" s="908"/>
      <c r="C46" s="899" t="e">
        <f t="shared" ref="C46:D46" si="2">+C43/30.42</f>
        <v>#DIV/0!</v>
      </c>
      <c r="D46" s="899" t="e">
        <f t="shared" si="2"/>
        <v>#VALUE!</v>
      </c>
      <c r="E46" s="899" t="e">
        <f>+E43/30.42</f>
        <v>#VALUE!</v>
      </c>
      <c r="F46" s="897" t="e">
        <f>+F43/30.42</f>
        <v>#DIV/0!</v>
      </c>
      <c r="G46" s="419"/>
      <c r="H46" s="413"/>
      <c r="I46" s="79"/>
      <c r="J46" s="416"/>
      <c r="K46" s="408"/>
    </row>
    <row r="47" spans="1:11" s="135" customFormat="1" ht="19.5" thickTop="1" x14ac:dyDescent="0.3">
      <c r="A47" s="34" t="s">
        <v>188</v>
      </c>
      <c r="B47" s="35"/>
      <c r="C47" s="1079" t="e">
        <f>+C43+C39</f>
        <v>#DIV/0!</v>
      </c>
      <c r="D47" s="1079" t="str">
        <f>IF(A10="x",D43+D39,IF(A17="x",D43+D39,""))</f>
        <v/>
      </c>
      <c r="E47" s="1079" t="str">
        <f>IF(A10="x","",IF(A17="x",E43+E39,""))</f>
        <v/>
      </c>
      <c r="F47" s="981"/>
      <c r="G47" s="420"/>
      <c r="H47" s="413"/>
      <c r="I47" s="79"/>
      <c r="J47" s="416"/>
      <c r="K47" s="408"/>
    </row>
    <row r="48" spans="1:11" s="135" customFormat="1" ht="19.5" thickBot="1" x14ac:dyDescent="0.35">
      <c r="A48" s="40" t="s">
        <v>189</v>
      </c>
      <c r="B48" s="41"/>
      <c r="C48" s="1080"/>
      <c r="D48" s="1080"/>
      <c r="E48" s="1080"/>
      <c r="F48" s="982"/>
      <c r="G48" s="421"/>
      <c r="H48" s="413"/>
      <c r="I48" s="79"/>
      <c r="J48" s="416"/>
      <c r="K48" s="408"/>
    </row>
    <row r="49" spans="1:11" s="135" customFormat="1" ht="16.5" thickTop="1" thickBot="1" x14ac:dyDescent="0.3">
      <c r="A49" s="31"/>
      <c r="B49" s="3"/>
      <c r="C49" s="3"/>
      <c r="D49" s="3"/>
      <c r="E49" s="3"/>
      <c r="F49" s="7"/>
      <c r="G49" s="412"/>
      <c r="H49" s="413"/>
      <c r="I49" s="79"/>
      <c r="J49" s="416"/>
      <c r="K49" s="408"/>
    </row>
    <row r="50" spans="1:11" s="135" customFormat="1" ht="19.5" thickBot="1" x14ac:dyDescent="0.35">
      <c r="A50" s="42" t="s">
        <v>181</v>
      </c>
      <c r="B50" s="43"/>
      <c r="C50" s="44" t="e">
        <f>+C47+C36</f>
        <v>#DIV/0!</v>
      </c>
      <c r="D50" s="45" t="str">
        <f>IF(A10="x",D47+D36,IF(A17="x",D47+D36,""))</f>
        <v/>
      </c>
      <c r="E50" s="46" t="str">
        <f>IF(A10="x","",IF(A17="x",E47+E36,""))</f>
        <v/>
      </c>
      <c r="F50" s="7"/>
      <c r="G50" s="412"/>
      <c r="H50" s="427" t="e">
        <f>ROUNDDOWN(IF(A10="x",(C50*C27+D50*D27-'Erg.-Übersicht'!D20*'Erg.-Übersicht'!D8),(C50*C27+D50*D27+E50*E27-'Erg.-Übersicht'!D20*'Erg.-Übersicht'!D8)),0)</f>
        <v>#DIV/0!</v>
      </c>
      <c r="I50" s="426" t="s">
        <v>242</v>
      </c>
      <c r="J50" s="416"/>
      <c r="K50" s="408"/>
    </row>
    <row r="51" spans="1:11" s="135" customFormat="1" ht="14.25" customHeight="1" x14ac:dyDescent="0.25">
      <c r="A51" s="31"/>
      <c r="B51" s="3"/>
      <c r="C51" s="3"/>
      <c r="D51" s="3"/>
      <c r="E51" s="3"/>
      <c r="F51" s="7"/>
      <c r="G51" s="412"/>
      <c r="H51" s="413"/>
      <c r="I51" s="79"/>
      <c r="J51" s="416"/>
      <c r="K51" s="408"/>
    </row>
    <row r="52" spans="1:11" s="135" customFormat="1" ht="18.75" x14ac:dyDescent="0.3">
      <c r="A52" s="47" t="s">
        <v>268</v>
      </c>
      <c r="B52" s="48"/>
      <c r="C52" s="3"/>
      <c r="D52" s="3"/>
      <c r="E52" s="3"/>
      <c r="F52" s="7"/>
      <c r="G52" s="412"/>
      <c r="H52" s="413"/>
      <c r="I52" s="79"/>
      <c r="J52" s="416"/>
      <c r="K52" s="408"/>
    </row>
    <row r="53" spans="1:11" s="135" customFormat="1" ht="18.75" x14ac:dyDescent="0.3">
      <c r="A53" s="47" t="s">
        <v>190</v>
      </c>
      <c r="B53" s="48"/>
      <c r="C53" s="49"/>
      <c r="D53" s="3"/>
      <c r="E53" s="3"/>
      <c r="F53" s="7"/>
      <c r="G53" s="412"/>
      <c r="H53" s="413"/>
      <c r="I53" s="79"/>
      <c r="J53" s="416"/>
      <c r="K53" s="408"/>
    </row>
    <row r="54" spans="1:11" s="135" customFormat="1" x14ac:dyDescent="0.25">
      <c r="A54" s="1081" t="s">
        <v>191</v>
      </c>
      <c r="B54" s="1082"/>
      <c r="C54" s="50" t="e">
        <f>+C29</f>
        <v>#DIV/0!</v>
      </c>
      <c r="D54" s="50" t="str">
        <f>IF(A10="x",D29,IF(A17="x",D29,""))</f>
        <v/>
      </c>
      <c r="E54" s="50" t="str">
        <f>IF(A10="x","",IF(A17="x",E29,""))</f>
        <v/>
      </c>
      <c r="F54" s="7"/>
      <c r="G54" s="412"/>
      <c r="H54" s="413"/>
      <c r="I54" s="79"/>
      <c r="J54" s="416"/>
      <c r="K54" s="408"/>
    </row>
    <row r="55" spans="1:11" s="135" customFormat="1" x14ac:dyDescent="0.25">
      <c r="A55" s="1081" t="s">
        <v>192</v>
      </c>
      <c r="B55" s="1082"/>
      <c r="C55" s="50" t="e">
        <f>'C_1 Nebenk.'!E44*'A Flächen'!F184</f>
        <v>#VALUE!</v>
      </c>
      <c r="D55" s="50" t="str">
        <f>IF(A10="x",'C_1 Nebenk.'!E44*'A Flächen'!F184,IF(A17="x",'C_1 Nebenk.'!E44*'A Flächen'!F184,""))</f>
        <v/>
      </c>
      <c r="E55" s="50" t="str">
        <f>IF(A10="x","",IF(A17="x",'C_1 Nebenk.'!E44*'A Flächen'!F184,""))</f>
        <v/>
      </c>
      <c r="F55" s="7"/>
      <c r="G55" s="412"/>
      <c r="H55" s="413"/>
      <c r="I55" s="79"/>
      <c r="J55" s="416"/>
      <c r="K55" s="408"/>
    </row>
    <row r="56" spans="1:11" s="135" customFormat="1" ht="46.5" customHeight="1" x14ac:dyDescent="0.25">
      <c r="A56" s="1081" t="s">
        <v>270</v>
      </c>
      <c r="B56" s="1082"/>
      <c r="C56" s="50" t="e">
        <f>'B_1 Geb. Kaltmiete'!D115*'A Flächen'!E184*365/12</f>
        <v>#DIV/0!</v>
      </c>
      <c r="D56" s="50" t="str">
        <f>IF(A10="x",'B_1 Geb. Kaltmiete'!D115*'A Flächen'!E184*365/12,IF(A17="x",'B_1 Geb. Kaltmiete'!D115*'A Flächen'!E184*365/12,""))</f>
        <v/>
      </c>
      <c r="E56" s="50" t="str">
        <f>IF(A10="x","",IF(A17="x",'B_1 Geb. Kaltmiete'!D115*'A Flächen'!E184*365/12,""))</f>
        <v/>
      </c>
      <c r="F56" s="7"/>
      <c r="G56" s="412"/>
      <c r="H56" s="413"/>
      <c r="I56" s="79"/>
      <c r="J56" s="416"/>
      <c r="K56" s="408"/>
    </row>
    <row r="57" spans="1:11" s="135" customFormat="1" ht="29.25" customHeight="1" x14ac:dyDescent="0.25">
      <c r="A57" s="1081" t="s">
        <v>193</v>
      </c>
      <c r="B57" s="1082"/>
      <c r="C57" s="50" t="e">
        <f>+'C_1 Nebenk.'!E41</f>
        <v>#VALUE!</v>
      </c>
      <c r="D57" s="50" t="str">
        <f>IF(A10="x",'C_1 Nebenk.'!E41,IF(A17="x",'C_1 Nebenk.'!E41,""))</f>
        <v/>
      </c>
      <c r="E57" s="50" t="str">
        <f>IF(A10="x","",IF(A17="x",'C_1 Nebenk.'!E41,""))</f>
        <v/>
      </c>
      <c r="F57" s="7"/>
      <c r="G57" s="412"/>
      <c r="H57" s="413"/>
      <c r="I57" s="79"/>
      <c r="J57" s="416"/>
      <c r="K57" s="408"/>
    </row>
    <row r="58" spans="1:11" s="135" customFormat="1" ht="30.75" customHeight="1" thickBot="1" x14ac:dyDescent="0.3">
      <c r="A58" s="1095" t="s">
        <v>269</v>
      </c>
      <c r="B58" s="1096"/>
      <c r="C58" s="51" t="str">
        <f>IFERROR(IF(C34-C54-C55-C56-C57-Stammdaten!B10&gt;0,C34-C54-C55-C56-C57-Stammdaten!B10,""),"")</f>
        <v/>
      </c>
      <c r="D58" s="51" t="str">
        <f>IFERROR(IF(D34-D54-D55-D56-D57-Stammdaten!B10&gt;0,(IF(A10="x",D34-D54-D55-D56-D57-Stammdaten!B10,IF(A17="x",D34-D54-D55-D56-D57-Stammdaten!B10,""))),""),"")</f>
        <v/>
      </c>
      <c r="E58" s="51" t="str">
        <f>IFERROR(IF(E34-E54-E55-E56-E57-Stammdaten!B10&gt;0,(IF(A10="x","",IF(A17="x",E34-E54-E55-E56-E57-Stammdaten!B10,""))),""),"")</f>
        <v/>
      </c>
      <c r="F58" s="7"/>
      <c r="G58" s="412"/>
      <c r="H58" s="413"/>
      <c r="I58" s="412"/>
      <c r="J58" s="422"/>
      <c r="K58" s="423"/>
    </row>
    <row r="59" spans="1:11" s="135" customFormat="1" ht="16.5" thickTop="1" thickBot="1" x14ac:dyDescent="0.3">
      <c r="A59" s="52" t="s">
        <v>271</v>
      </c>
      <c r="B59" s="53"/>
      <c r="C59" s="54" t="e">
        <f>SUM(C54:C58)</f>
        <v>#DIV/0!</v>
      </c>
      <c r="D59" s="54" t="str">
        <f>IF(A10="x",SUM(D54:D58),IF(A17="x",SUM(D54:D58),""))</f>
        <v/>
      </c>
      <c r="E59" s="54" t="str">
        <f>IF(A10="x","",IF(A17="x",SUM(E54:E58),""))</f>
        <v/>
      </c>
      <c r="F59" s="7"/>
      <c r="G59" s="412"/>
      <c r="H59" s="422"/>
      <c r="I59" s="416"/>
    </row>
    <row r="60" spans="1:11" s="135" customFormat="1" x14ac:dyDescent="0.25">
      <c r="A60" s="483"/>
      <c r="B60" s="521"/>
      <c r="C60" s="521"/>
      <c r="D60" s="521"/>
      <c r="E60" s="521"/>
      <c r="F60" s="603"/>
      <c r="G60" s="424"/>
      <c r="H60" s="422"/>
      <c r="I60" s="416"/>
      <c r="J60" s="79"/>
    </row>
    <row r="61" spans="1:11" s="135" customFormat="1" x14ac:dyDescent="0.25">
      <c r="A61" s="480" t="s">
        <v>277</v>
      </c>
      <c r="B61" s="3"/>
      <c r="C61" s="3"/>
      <c r="D61" s="3"/>
      <c r="E61" s="3"/>
      <c r="F61" s="7"/>
      <c r="G61" s="412"/>
      <c r="H61" s="413"/>
      <c r="I61" s="79"/>
      <c r="J61" s="79"/>
    </row>
    <row r="62" spans="1:11" x14ac:dyDescent="0.25">
      <c r="A62" s="481" t="s">
        <v>281</v>
      </c>
      <c r="B62" s="482"/>
      <c r="C62" s="482"/>
      <c r="D62" s="1"/>
      <c r="E62" s="482"/>
      <c r="F62" s="7"/>
      <c r="G62" s="412"/>
      <c r="H62" s="413"/>
      <c r="I62" s="79"/>
      <c r="J62" s="398"/>
    </row>
    <row r="63" spans="1:11" x14ac:dyDescent="0.25">
      <c r="A63" s="483" t="s">
        <v>280</v>
      </c>
      <c r="B63" s="483"/>
      <c r="C63" s="8">
        <f>'Erg.-Übersicht'!B49</f>
        <v>0</v>
      </c>
      <c r="D63" s="8" t="str">
        <f>IF(A10="x",'Erg.-Übersicht'!B49,IF(A17="x",'Erg.-Übersicht'!B49,""))</f>
        <v/>
      </c>
      <c r="E63" s="8" t="str">
        <f>IF(A10="x","",IF(A17="x",'Erg.-Übersicht'!B49,""))</f>
        <v/>
      </c>
      <c r="F63" s="7"/>
      <c r="G63" s="412"/>
      <c r="H63" s="427" t="e">
        <f>ROUNDDOWN(IF(A10="x",(C63+D63-2*Stammdaten!B10),('Zimmer-Kat.'!C63+'Zimmer-Kat.'!D63+'Zimmer-Kat.'!E63-3*Stammdaten!B10)),0)</f>
        <v>#VALUE!</v>
      </c>
      <c r="I63" s="426" t="s">
        <v>5</v>
      </c>
      <c r="J63" s="398"/>
    </row>
    <row r="64" spans="1:11" x14ac:dyDescent="0.25">
      <c r="A64" s="484" t="s">
        <v>279</v>
      </c>
      <c r="B64" s="484"/>
      <c r="C64" s="485" t="e">
        <f>C34/C63-1</f>
        <v>#DIV/0!</v>
      </c>
      <c r="D64" s="485" t="str">
        <f>IF(A10="x",D34/D63-1,IF(A17="x",D34/D63-1,""))</f>
        <v/>
      </c>
      <c r="E64" s="485" t="str">
        <f>IF(A10="x","",IF(A17="x",E34/E63-1,""))</f>
        <v/>
      </c>
      <c r="F64" s="7"/>
      <c r="G64" s="412"/>
      <c r="H64" s="427" t="e">
        <f>ROUNDDOWN(IF(A10="x",((C64*C27+D64*D27)/(C27+D27)-'Erg.-Übersicht'!B50),((C64*C27+D64*D27+E64*E27)/(C27+D27+E27)-'Erg.-Übersicht'!B50)),0)</f>
        <v>#DIV/0!</v>
      </c>
      <c r="I64" s="426" t="s">
        <v>5</v>
      </c>
      <c r="J64" s="398"/>
    </row>
    <row r="65" spans="1:10" x14ac:dyDescent="0.25">
      <c r="A65" s="484" t="s">
        <v>276</v>
      </c>
      <c r="B65" s="484"/>
      <c r="C65" s="8">
        <f>+'Erg.-Übersicht'!B49*1.25</f>
        <v>0</v>
      </c>
      <c r="D65" s="8" t="str">
        <f>IF(A10="x",'Erg.-Übersicht'!B49*1.25,IF(A17="x",'Erg.-Übersicht'!B49*1.25,""))</f>
        <v/>
      </c>
      <c r="E65" s="8" t="str">
        <f>IF(A10="x","",IF(A17="x",'Erg.-Übersicht'!B49*1.25,""))</f>
        <v/>
      </c>
      <c r="F65" s="603"/>
      <c r="G65" s="412"/>
      <c r="H65" s="427" t="e">
        <f>ROUNDDOWN(IF(A10="x",(C65+D65-2*'Erg.-Übersicht'!B51),('Zimmer-Kat.'!C65+'Zimmer-Kat.'!D65+'Zimmer-Kat.'!E65-3*'Erg.-Übersicht'!B51)),0)</f>
        <v>#VALUE!</v>
      </c>
      <c r="I65" s="426" t="s">
        <v>5</v>
      </c>
      <c r="J65" s="398"/>
    </row>
    <row r="66" spans="1:10" x14ac:dyDescent="0.25">
      <c r="H66" s="398"/>
      <c r="I66" s="398"/>
      <c r="J66" s="398"/>
    </row>
    <row r="67" spans="1:10" x14ac:dyDescent="0.25">
      <c r="H67" s="398"/>
      <c r="I67" s="398"/>
      <c r="J67" s="398"/>
    </row>
    <row r="68" spans="1:10" x14ac:dyDescent="0.25">
      <c r="H68" s="398"/>
      <c r="I68" s="398"/>
      <c r="J68" s="398"/>
    </row>
    <row r="69" spans="1:10" x14ac:dyDescent="0.25">
      <c r="H69" s="398"/>
      <c r="I69" s="398"/>
      <c r="J69" s="398"/>
    </row>
    <row r="70" spans="1:10" x14ac:dyDescent="0.25">
      <c r="H70" s="398"/>
      <c r="I70" s="398"/>
      <c r="J70" s="398"/>
    </row>
    <row r="71" spans="1:10" x14ac:dyDescent="0.25">
      <c r="H71" s="398"/>
      <c r="I71" s="398"/>
      <c r="J71" s="398"/>
    </row>
    <row r="72" spans="1:10" x14ac:dyDescent="0.25">
      <c r="H72" s="398"/>
      <c r="I72" s="398"/>
      <c r="J72" s="398"/>
    </row>
    <row r="73" spans="1:10" x14ac:dyDescent="0.25">
      <c r="H73" s="398"/>
      <c r="I73" s="398"/>
      <c r="J73" s="398"/>
    </row>
    <row r="74" spans="1:10" x14ac:dyDescent="0.25">
      <c r="H74" s="398"/>
      <c r="I74" s="398"/>
      <c r="J74" s="398"/>
    </row>
    <row r="75" spans="1:10" x14ac:dyDescent="0.25">
      <c r="H75" s="398"/>
      <c r="I75" s="398"/>
      <c r="J75" s="398"/>
    </row>
    <row r="76" spans="1:10" x14ac:dyDescent="0.25">
      <c r="H76" s="398"/>
      <c r="I76" s="398"/>
      <c r="J76" s="398"/>
    </row>
    <row r="77" spans="1:10" x14ac:dyDescent="0.25">
      <c r="H77" s="398"/>
      <c r="I77" s="398"/>
      <c r="J77" s="398"/>
    </row>
    <row r="78" spans="1:10" x14ac:dyDescent="0.25">
      <c r="H78" s="398"/>
      <c r="I78" s="398"/>
      <c r="J78" s="398"/>
    </row>
    <row r="79" spans="1:10" x14ac:dyDescent="0.25">
      <c r="H79" s="398"/>
      <c r="I79" s="398"/>
      <c r="J79" s="398"/>
    </row>
    <row r="80" spans="1:10" x14ac:dyDescent="0.25">
      <c r="H80" s="398"/>
      <c r="I80" s="398"/>
      <c r="J80" s="398"/>
    </row>
    <row r="81" spans="8:10" x14ac:dyDescent="0.25">
      <c r="H81" s="398"/>
      <c r="I81" s="398"/>
      <c r="J81" s="398"/>
    </row>
    <row r="82" spans="8:10" x14ac:dyDescent="0.25">
      <c r="H82" s="398"/>
      <c r="I82" s="398"/>
      <c r="J82" s="398"/>
    </row>
    <row r="83" spans="8:10" x14ac:dyDescent="0.25">
      <c r="H83" s="398"/>
      <c r="I83" s="398"/>
      <c r="J83" s="398"/>
    </row>
    <row r="84" spans="8:10" x14ac:dyDescent="0.25">
      <c r="H84" s="398"/>
      <c r="I84" s="398"/>
      <c r="J84" s="398"/>
    </row>
    <row r="85" spans="8:10" x14ac:dyDescent="0.25">
      <c r="H85" s="398"/>
      <c r="I85" s="398"/>
      <c r="J85" s="398"/>
    </row>
    <row r="86" spans="8:10" x14ac:dyDescent="0.25">
      <c r="H86" s="398"/>
      <c r="I86" s="398"/>
      <c r="J86" s="398"/>
    </row>
    <row r="87" spans="8:10" x14ac:dyDescent="0.25">
      <c r="H87" s="398"/>
      <c r="I87" s="398"/>
      <c r="J87" s="398"/>
    </row>
    <row r="88" spans="8:10" x14ac:dyDescent="0.25">
      <c r="H88" s="398"/>
      <c r="I88" s="398"/>
      <c r="J88" s="398"/>
    </row>
    <row r="89" spans="8:10" x14ac:dyDescent="0.25">
      <c r="H89" s="398"/>
      <c r="I89" s="398"/>
      <c r="J89" s="398"/>
    </row>
    <row r="90" spans="8:10" x14ac:dyDescent="0.25">
      <c r="H90" s="398"/>
      <c r="I90" s="398"/>
      <c r="J90" s="398"/>
    </row>
    <row r="91" spans="8:10" x14ac:dyDescent="0.25">
      <c r="H91" s="398"/>
      <c r="I91" s="398"/>
      <c r="J91" s="398"/>
    </row>
    <row r="92" spans="8:10" x14ac:dyDescent="0.25">
      <c r="H92" s="398"/>
      <c r="I92" s="398"/>
      <c r="J92" s="398"/>
    </row>
    <row r="93" spans="8:10" x14ac:dyDescent="0.25">
      <c r="H93" s="398"/>
      <c r="I93" s="398"/>
      <c r="J93" s="398"/>
    </row>
    <row r="94" spans="8:10" x14ac:dyDescent="0.25">
      <c r="H94" s="398"/>
      <c r="I94" s="398"/>
      <c r="J94" s="398"/>
    </row>
    <row r="95" spans="8:10" x14ac:dyDescent="0.25">
      <c r="H95" s="398"/>
      <c r="I95" s="398"/>
      <c r="J95" s="398"/>
    </row>
    <row r="96" spans="8:10" x14ac:dyDescent="0.25">
      <c r="H96" s="398"/>
      <c r="I96" s="398"/>
      <c r="J96" s="398"/>
    </row>
    <row r="97" spans="8:10" x14ac:dyDescent="0.25">
      <c r="H97" s="398"/>
      <c r="I97" s="398"/>
      <c r="J97" s="398"/>
    </row>
    <row r="98" spans="8:10" x14ac:dyDescent="0.25">
      <c r="H98" s="398"/>
      <c r="I98" s="398"/>
      <c r="J98" s="398"/>
    </row>
    <row r="99" spans="8:10" x14ac:dyDescent="0.25">
      <c r="H99" s="398"/>
      <c r="I99" s="398"/>
      <c r="J99" s="398"/>
    </row>
    <row r="100" spans="8:10" x14ac:dyDescent="0.25">
      <c r="H100" s="398"/>
      <c r="I100" s="398"/>
      <c r="J100" s="398"/>
    </row>
    <row r="101" spans="8:10" x14ac:dyDescent="0.25">
      <c r="H101" s="398"/>
      <c r="I101" s="398"/>
      <c r="J101" s="398"/>
    </row>
    <row r="102" spans="8:10" x14ac:dyDescent="0.25">
      <c r="H102" s="398"/>
      <c r="I102" s="398"/>
      <c r="J102" s="398"/>
    </row>
    <row r="103" spans="8:10" x14ac:dyDescent="0.25">
      <c r="H103" s="398"/>
      <c r="I103" s="398"/>
      <c r="J103" s="398"/>
    </row>
    <row r="104" spans="8:10" x14ac:dyDescent="0.25">
      <c r="H104" s="398"/>
      <c r="I104" s="398"/>
      <c r="J104" s="398"/>
    </row>
    <row r="105" spans="8:10" x14ac:dyDescent="0.25">
      <c r="H105" s="398"/>
      <c r="I105" s="398"/>
      <c r="J105" s="398"/>
    </row>
    <row r="106" spans="8:10" x14ac:dyDescent="0.25">
      <c r="H106" s="398"/>
      <c r="I106" s="398"/>
      <c r="J106" s="398"/>
    </row>
    <row r="107" spans="8:10" x14ac:dyDescent="0.25">
      <c r="H107" s="398"/>
      <c r="I107" s="398"/>
      <c r="J107" s="398"/>
    </row>
    <row r="108" spans="8:10" x14ac:dyDescent="0.25">
      <c r="H108" s="398"/>
      <c r="I108" s="398"/>
      <c r="J108" s="398"/>
    </row>
  </sheetData>
  <sheetProtection algorithmName="SHA-512" hashValue="mwRgJwnHASu4tPs93lbhU0Z9SxpR0mKkC8GdlkWLi2zIHAi7kDibZklvEJqcFuMluqWeHD7VSeEewZN/vu/B3Q==" saltValue="WTAOjeYdLGSNQJTK6AyJHQ==" spinCount="100000" sheet="1" objects="1" scenarios="1"/>
  <mergeCells count="29">
    <mergeCell ref="A10:A11"/>
    <mergeCell ref="A13:B13"/>
    <mergeCell ref="A14:B14"/>
    <mergeCell ref="D43:D44"/>
    <mergeCell ref="E43:E44"/>
    <mergeCell ref="E39:E40"/>
    <mergeCell ref="E36:E37"/>
    <mergeCell ref="D39:D40"/>
    <mergeCell ref="A56:B56"/>
    <mergeCell ref="A55:B55"/>
    <mergeCell ref="A57:B57"/>
    <mergeCell ref="A58:B58"/>
    <mergeCell ref="D47:D48"/>
    <mergeCell ref="E47:E48"/>
    <mergeCell ref="A54:B54"/>
    <mergeCell ref="A4:F4"/>
    <mergeCell ref="C43:C44"/>
    <mergeCell ref="F43:F44"/>
    <mergeCell ref="C47:C48"/>
    <mergeCell ref="F47:F48"/>
    <mergeCell ref="C36:C37"/>
    <mergeCell ref="F36:F37"/>
    <mergeCell ref="C39:C40"/>
    <mergeCell ref="F39:F40"/>
    <mergeCell ref="A17:A18"/>
    <mergeCell ref="A20:B20"/>
    <mergeCell ref="A21:B21"/>
    <mergeCell ref="A22:B22"/>
    <mergeCell ref="D36:D37"/>
  </mergeCells>
  <conditionalFormatting sqref="A10:A11">
    <cfRule type="expression" dxfId="21" priority="52">
      <formula>IF(AND($A$17="x"),($A$10=""))</formula>
    </cfRule>
    <cfRule type="expression" dxfId="20" priority="53">
      <formula>AND($A$10="x",$A$17="x")</formula>
    </cfRule>
  </conditionalFormatting>
  <conditionalFormatting sqref="A17:A18">
    <cfRule type="expression" dxfId="19" priority="24">
      <formula>AND($A$10="x",$A$17="x")</formula>
    </cfRule>
    <cfRule type="expression" dxfId="18" priority="25">
      <formula>$A$10="x"</formula>
    </cfRule>
  </conditionalFormatting>
  <conditionalFormatting sqref="A14:B14">
    <cfRule type="expression" dxfId="17" priority="27">
      <formula>$A$10="x"</formula>
    </cfRule>
  </conditionalFormatting>
  <conditionalFormatting sqref="A22:B22">
    <cfRule type="expression" dxfId="16" priority="34">
      <formula>$A$17="x"</formula>
    </cfRule>
  </conditionalFormatting>
  <conditionalFormatting sqref="A38:B38">
    <cfRule type="containsErrors" dxfId="15" priority="51">
      <formula>ISERROR(A38)</formula>
    </cfRule>
  </conditionalFormatting>
  <conditionalFormatting sqref="A13:D13">
    <cfRule type="expression" dxfId="14" priority="33">
      <formula>$A$10="x"</formula>
    </cfRule>
  </conditionalFormatting>
  <conditionalFormatting sqref="A20:D21">
    <cfRule type="expression" dxfId="13" priority="35">
      <formula>$A$17="x"</formula>
    </cfRule>
  </conditionalFormatting>
  <conditionalFormatting sqref="H14:H16">
    <cfRule type="expression" dxfId="12" priority="9">
      <formula>$H$14=""</formula>
    </cfRule>
    <cfRule type="expression" dxfId="11" priority="10">
      <formula>H14&lt;&gt;0</formula>
    </cfRule>
  </conditionalFormatting>
  <conditionalFormatting sqref="H22:H24">
    <cfRule type="expression" dxfId="10" priority="4">
      <formula>$H$22=""</formula>
    </cfRule>
    <cfRule type="expression" dxfId="9" priority="5">
      <formula>H22&lt;&gt;0</formula>
    </cfRule>
  </conditionalFormatting>
  <conditionalFormatting sqref="H27:H28">
    <cfRule type="expression" dxfId="8" priority="16">
      <formula>H27&lt;&gt;0</formula>
    </cfRule>
  </conditionalFormatting>
  <conditionalFormatting sqref="H34">
    <cfRule type="expression" dxfId="7" priority="15">
      <formula>H34&lt;&gt;0</formula>
    </cfRule>
  </conditionalFormatting>
  <conditionalFormatting sqref="H50">
    <cfRule type="expression" dxfId="6" priority="14">
      <formula>H50&lt;&gt;0</formula>
    </cfRule>
  </conditionalFormatting>
  <conditionalFormatting sqref="H63:H65">
    <cfRule type="expression" dxfId="5" priority="1">
      <formula>H63&lt;&gt;0</formula>
    </cfRule>
  </conditionalFormatting>
  <pageMargins left="0.7" right="0.7" top="0.78740157499999996" bottom="0.78740157499999996" header="0.3" footer="0.3"/>
  <pageSetup paperSize="9" scale="71" orientation="portrait" r:id="rId1"/>
  <rowBreaks count="1" manualBreakCount="1">
    <brk id="51" max="5"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Stammdaten</vt:lpstr>
      <vt:lpstr>Erg.-Übersicht</vt:lpstr>
      <vt:lpstr>A Flächen</vt:lpstr>
      <vt:lpstr>B_1 Geb. Kaltmiete</vt:lpstr>
      <vt:lpstr>B_2 Sonder-Infrastr.</vt:lpstr>
      <vt:lpstr>C_1 Nebenk.</vt:lpstr>
      <vt:lpstr>C_2 NK Sonder-Infrastr.</vt:lpstr>
      <vt:lpstr>D Ausstatt.</vt:lpstr>
      <vt:lpstr>Zimmer-Kat.</vt:lpstr>
      <vt:lpstr>Anlage atyp. Ausstattung</vt:lpstr>
      <vt:lpstr>Anlage Inflationsraten</vt:lpstr>
      <vt:lpstr>'A Flächen'!Druckbereich</vt:lpstr>
      <vt:lpstr>'Anlage atyp. Ausstattung'!Druckbereich</vt:lpstr>
      <vt:lpstr>'B_1 Geb. Kaltmiete'!Druckbereich</vt:lpstr>
      <vt:lpstr>'B_2 Sonder-Infrastr.'!Druckbereich</vt:lpstr>
      <vt:lpstr>'C_1 Nebenk.'!Druckbereich</vt:lpstr>
      <vt:lpstr>'C_2 NK Sonder-Infrastr.'!Druckbereich</vt:lpstr>
      <vt:lpstr>'D Ausstatt.'!Druckbereich</vt:lpstr>
      <vt:lpstr>'Erg.-Übersicht'!Druckbereich</vt:lpstr>
      <vt:lpstr>Stammdaten!Druckbereich</vt:lpstr>
      <vt:lpstr>'Zimmer-Kat.'!Druckbereich</vt:lpstr>
    </vt:vector>
  </TitlesOfParts>
  <Company>Stiftung Liebenau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Schyra, Matthias</dc:creator>
  <cp:lastModifiedBy>Schyra, Matthias</cp:lastModifiedBy>
  <cp:lastPrinted>2024-09-20T12:44:26Z</cp:lastPrinted>
  <dcterms:created xsi:type="dcterms:W3CDTF">2017-07-26T12:10:48Z</dcterms:created>
  <dcterms:modified xsi:type="dcterms:W3CDTF">2025-02-10T14:19:23Z</dcterms:modified>
</cp:coreProperties>
</file>