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DieseArbeitsmappe" defaultThemeVersion="124226"/>
  <mc:AlternateContent xmlns:mc="http://schemas.openxmlformats.org/markup-compatibility/2006">
    <mc:Choice Requires="x15">
      <x15ac:absPath xmlns:x15ac="http://schemas.microsoft.com/office/spreadsheetml/2010/11/ac" url="G:\03_OE_03\Ströbl\Gemeinsame Geschäftsstelle Ströbl\SGB IX\Rahmenvertrag SGB IX\Anlagen\Anlage zu § 56 Abs. 2 a)\"/>
    </mc:Choice>
  </mc:AlternateContent>
  <xr:revisionPtr revIDLastSave="0" documentId="8_{D842F6C6-0106-4000-853B-46D3EEA5D400}" xr6:coauthVersionLast="47" xr6:coauthVersionMax="47" xr10:uidLastSave="{00000000-0000-0000-0000-000000000000}"/>
  <bookViews>
    <workbookView xWindow="19090" yWindow="-110" windowWidth="19420" windowHeight="10420" tabRatio="749" xr2:uid="{00000000-000D-0000-FFFF-FFFF00000000}"/>
  </bookViews>
  <sheets>
    <sheet name="Stammdaten" sheetId="11" r:id="rId1"/>
    <sheet name="Erg.-Übersicht" sheetId="14" r:id="rId2"/>
    <sheet name="A Flächen" sheetId="1" r:id="rId3"/>
    <sheet name="B_1 Geb. Kaltmiete" sheetId="2" r:id="rId4"/>
    <sheet name="B_2 Sonder-Infrastr." sheetId="12" r:id="rId5"/>
    <sheet name="C_1 Nebenk." sheetId="9" r:id="rId6"/>
    <sheet name="C_2 NK Sonder-Infrastr." sheetId="13" r:id="rId7"/>
    <sheet name="D Ausstatt." sheetId="3" r:id="rId8"/>
    <sheet name="E Mietber." sheetId="5" r:id="rId9"/>
    <sheet name="Zimmer-Kat." sheetId="15" r:id="rId10"/>
    <sheet name="Anlage atyp. Ausstattung" sheetId="16" r:id="rId11"/>
    <sheet name="Anl. Verw.kosten" sheetId="10" r:id="rId12"/>
  </sheets>
  <definedNames>
    <definedName name="_xlnm.Print_Area" localSheetId="2">'A Flächen'!$A$1:$G$192</definedName>
    <definedName name="_xlnm.Print_Area" localSheetId="10">'Anlage atyp. Ausstattung'!$A$1:$F$64</definedName>
    <definedName name="_xlnm.Print_Area" localSheetId="3">'B_1 Geb. Kaltmiete'!$A$1:$F$122</definedName>
    <definedName name="_xlnm.Print_Area" localSheetId="4">'B_2 Sonder-Infrastr.'!$A$1:$H$166</definedName>
    <definedName name="_xlnm.Print_Area" localSheetId="5">'C_1 Nebenk.'!$A$1:$F$37</definedName>
    <definedName name="_xlnm.Print_Area" localSheetId="6">'C_2 NK Sonder-Infrastr.'!$A$1:$E$35</definedName>
    <definedName name="_xlnm.Print_Area" localSheetId="7">'D Ausstatt.'!$A$1:$F$30</definedName>
    <definedName name="_xlnm.Print_Area" localSheetId="8">'E Mietber.'!$A$1:$I$48</definedName>
    <definedName name="_xlnm.Print_Area" localSheetId="1">'Erg.-Übersicht'!$A$1:$E$51</definedName>
    <definedName name="_xlnm.Print_Area" localSheetId="0">Stammdaten!$A$1:$D$39</definedName>
    <definedName name="_xlnm.Print_Area" localSheetId="9">'Zimmer-Kat.'!$A$1:$F$65</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1" i="12" l="1"/>
  <c r="D34" i="2" l="1"/>
  <c r="D36" i="2"/>
  <c r="D35" i="2"/>
  <c r="C36" i="2" l="1"/>
  <c r="C34" i="2"/>
  <c r="C35" i="2"/>
  <c r="C49" i="2"/>
  <c r="D61" i="2" l="1"/>
  <c r="I30" i="2" l="1"/>
  <c r="C138" i="12" l="1"/>
  <c r="A26" i="2" l="1"/>
  <c r="E6" i="3" l="1"/>
  <c r="F6" i="3"/>
  <c r="F7" i="3" s="1"/>
  <c r="E7" i="3"/>
  <c r="B26" i="2" l="1"/>
  <c r="F10" i="2" l="1"/>
  <c r="B28" i="2"/>
  <c r="B27" i="2"/>
  <c r="A34" i="2"/>
  <c r="A41" i="2" s="1"/>
  <c r="A25" i="2"/>
  <c r="A29" i="2"/>
  <c r="A28" i="2"/>
  <c r="A27" i="2"/>
  <c r="B29" i="2"/>
  <c r="B25" i="2"/>
  <c r="C50" i="2"/>
  <c r="C48" i="2"/>
  <c r="C47" i="2"/>
  <c r="E18" i="2"/>
  <c r="E14" i="2"/>
  <c r="G6" i="2" l="1"/>
  <c r="E63" i="15"/>
  <c r="D63" i="15"/>
  <c r="C63" i="15"/>
  <c r="B49" i="14"/>
  <c r="B51" i="14" s="1"/>
  <c r="G49" i="14" l="1"/>
  <c r="C65" i="15"/>
  <c r="D65" i="15"/>
  <c r="E65" i="15"/>
  <c r="H63" i="15"/>
  <c r="C34" i="9"/>
  <c r="D61" i="16"/>
  <c r="D62" i="16" s="1"/>
  <c r="D21" i="3" l="1"/>
  <c r="G8" i="3"/>
  <c r="G6" i="3"/>
  <c r="E8" i="3"/>
  <c r="D56" i="16"/>
  <c r="D64" i="16" s="1"/>
  <c r="F8" i="3" s="1"/>
  <c r="G9" i="3" s="1"/>
  <c r="A3" i="16"/>
  <c r="F2" i="16"/>
  <c r="D13" i="3" l="1"/>
  <c r="D24" i="3" s="1"/>
  <c r="B19" i="3" l="1"/>
  <c r="F120" i="2"/>
  <c r="D31" i="15" l="1"/>
  <c r="G13" i="2" l="1"/>
  <c r="G16" i="2" l="1"/>
  <c r="G11" i="2"/>
  <c r="H123" i="2"/>
  <c r="H122" i="2"/>
  <c r="G7" i="9" l="1"/>
  <c r="G6" i="9"/>
  <c r="G12" i="2"/>
  <c r="F9" i="9"/>
  <c r="F8" i="9"/>
  <c r="E9" i="9"/>
  <c r="E8" i="9"/>
  <c r="E7" i="9"/>
  <c r="E6" i="9"/>
  <c r="E15" i="2"/>
  <c r="E13" i="2"/>
  <c r="E12" i="2"/>
  <c r="E9" i="1" l="1"/>
  <c r="A3" i="1"/>
  <c r="H22" i="5" l="1"/>
  <c r="E29" i="2" l="1"/>
  <c r="G29" i="2" s="1"/>
  <c r="I24" i="15" l="1"/>
  <c r="I23" i="15"/>
  <c r="I22" i="15"/>
  <c r="I14" i="15"/>
  <c r="I16" i="15"/>
  <c r="I15" i="15"/>
  <c r="H93" i="2"/>
  <c r="H37" i="2"/>
  <c r="I31" i="2"/>
  <c r="E8" i="2" l="1"/>
  <c r="E9" i="2"/>
  <c r="A16" i="15"/>
  <c r="E50" i="2" l="1"/>
  <c r="E49" i="2"/>
  <c r="E48" i="2"/>
  <c r="E47" i="2"/>
  <c r="E31" i="15" l="1"/>
  <c r="D47" i="2"/>
  <c r="B17" i="14"/>
  <c r="C27" i="15"/>
  <c r="E25" i="15"/>
  <c r="D25" i="15"/>
  <c r="C25" i="15"/>
  <c r="C31" i="15" l="1"/>
  <c r="E13" i="15"/>
  <c r="E21" i="15" l="1"/>
  <c r="E20" i="15"/>
  <c r="E7" i="15" l="1"/>
  <c r="F2" i="15"/>
  <c r="F27" i="15" l="1"/>
  <c r="D14" i="15"/>
  <c r="D27" i="15" s="1"/>
  <c r="D22" i="15"/>
  <c r="E27" i="15" s="1"/>
  <c r="B33" i="13"/>
  <c r="C35" i="9"/>
  <c r="H27" i="15" l="1"/>
  <c r="D15" i="15"/>
  <c r="H14" i="15" s="1"/>
  <c r="D23" i="15"/>
  <c r="H22" i="15" s="1"/>
  <c r="B75" i="12"/>
  <c r="C72" i="12"/>
  <c r="H2" i="12" l="1"/>
  <c r="B155" i="12" l="1"/>
  <c r="B154" i="12" l="1"/>
  <c r="C3" i="12" l="1"/>
  <c r="A3" i="12"/>
  <c r="C46" i="12" l="1"/>
  <c r="D72" i="12"/>
  <c r="B156" i="12"/>
  <c r="A140" i="12"/>
  <c r="A139" i="12"/>
  <c r="A138" i="12"/>
  <c r="A137" i="12"/>
  <c r="C133" i="12"/>
  <c r="A133" i="12"/>
  <c r="C132" i="12"/>
  <c r="A132" i="12"/>
  <c r="C131" i="12"/>
  <c r="A131" i="12"/>
  <c r="C130" i="12"/>
  <c r="A130" i="12"/>
  <c r="A126" i="12"/>
  <c r="A125" i="12"/>
  <c r="A124" i="12"/>
  <c r="A116" i="12"/>
  <c r="A115" i="12"/>
  <c r="A114" i="12"/>
  <c r="A110" i="12"/>
  <c r="A109" i="12"/>
  <c r="A108" i="12"/>
  <c r="B98" i="12"/>
  <c r="A98" i="12"/>
  <c r="B96" i="12"/>
  <c r="B95" i="12"/>
  <c r="B94" i="12"/>
  <c r="B90" i="12"/>
  <c r="A90" i="12"/>
  <c r="A96" i="12" s="1"/>
  <c r="B89" i="12"/>
  <c r="A89" i="12"/>
  <c r="A95" i="12" s="1"/>
  <c r="B88" i="12"/>
  <c r="A88" i="12"/>
  <c r="A94" i="12" s="1"/>
  <c r="D65" i="12"/>
  <c r="D59" i="12"/>
  <c r="D47" i="12"/>
  <c r="D42" i="12"/>
  <c r="D40" i="12"/>
  <c r="D39" i="12"/>
  <c r="B36" i="12"/>
  <c r="G28" i="12"/>
  <c r="F28" i="12"/>
  <c r="E28" i="12"/>
  <c r="D28" i="12"/>
  <c r="C28" i="12"/>
  <c r="H27" i="12"/>
  <c r="H26" i="12"/>
  <c r="H25" i="12"/>
  <c r="H24" i="12"/>
  <c r="H23" i="12"/>
  <c r="H22" i="12"/>
  <c r="H21" i="12"/>
  <c r="G19" i="12"/>
  <c r="F19" i="12"/>
  <c r="E19" i="12"/>
  <c r="D19" i="12"/>
  <c r="C19" i="12"/>
  <c r="H18" i="12"/>
  <c r="H17" i="12"/>
  <c r="H16" i="12"/>
  <c r="H15" i="12"/>
  <c r="H14" i="12"/>
  <c r="H13" i="12"/>
  <c r="H12" i="12"/>
  <c r="H11" i="12"/>
  <c r="H10" i="12"/>
  <c r="H9" i="12"/>
  <c r="C90" i="2"/>
  <c r="C89" i="2"/>
  <c r="I71" i="12" l="1"/>
  <c r="E72" i="12"/>
  <c r="B130" i="12"/>
  <c r="D91" i="12"/>
  <c r="K91" i="12" s="1"/>
  <c r="C49" i="12"/>
  <c r="C137" i="12"/>
  <c r="C29" i="12"/>
  <c r="D79" i="12" s="1"/>
  <c r="C31" i="13"/>
  <c r="G29" i="12"/>
  <c r="D83" i="12" s="1"/>
  <c r="D98" i="12" s="1"/>
  <c r="D147" i="12" s="1"/>
  <c r="D160" i="12" s="1"/>
  <c r="F29" i="12"/>
  <c r="D82" i="12" s="1"/>
  <c r="H28" i="12"/>
  <c r="D29" i="12"/>
  <c r="D80" i="12" s="1"/>
  <c r="E29" i="12"/>
  <c r="D81" i="12" s="1"/>
  <c r="D67" i="12"/>
  <c r="C48" i="12"/>
  <c r="H19" i="12"/>
  <c r="B138" i="12"/>
  <c r="D138" i="12" s="1"/>
  <c r="B126" i="12"/>
  <c r="B124" i="12"/>
  <c r="D116" i="12"/>
  <c r="D114" i="12"/>
  <c r="B139" i="12"/>
  <c r="B133" i="12"/>
  <c r="B131" i="12"/>
  <c r="D131" i="12" s="1"/>
  <c r="D109" i="12"/>
  <c r="B140" i="12"/>
  <c r="B125" i="12"/>
  <c r="D115" i="12"/>
  <c r="D110" i="12"/>
  <c r="D108" i="12"/>
  <c r="D68" i="2"/>
  <c r="D98" i="2" s="1"/>
  <c r="B41" i="12" l="1"/>
  <c r="C88" i="12"/>
  <c r="D88" i="12" s="1"/>
  <c r="C90" i="12"/>
  <c r="D90" i="12" s="1"/>
  <c r="D96" i="12" s="1"/>
  <c r="C89" i="12"/>
  <c r="D89" i="12" s="1"/>
  <c r="D95" i="12" s="1"/>
  <c r="D48" i="12"/>
  <c r="C139" i="12"/>
  <c r="D49" i="12"/>
  <c r="C140" i="12"/>
  <c r="D140" i="12" s="1"/>
  <c r="D84" i="12"/>
  <c r="D102" i="12" s="1"/>
  <c r="D104" i="12" s="1"/>
  <c r="D148" i="12" s="1"/>
  <c r="D161" i="12" s="1"/>
  <c r="H29" i="12"/>
  <c r="K29" i="12" s="1"/>
  <c r="D111" i="12"/>
  <c r="K111" i="12" s="1"/>
  <c r="B127" i="12"/>
  <c r="K127" i="12" s="1"/>
  <c r="D139" i="12"/>
  <c r="D130" i="12"/>
  <c r="D117" i="12"/>
  <c r="D41" i="12"/>
  <c r="D43" i="12" s="1"/>
  <c r="B132" i="12"/>
  <c r="B43" i="12"/>
  <c r="G61" i="1"/>
  <c r="F61" i="1"/>
  <c r="E61" i="1"/>
  <c r="G60" i="1"/>
  <c r="F60" i="1"/>
  <c r="E60" i="1"/>
  <c r="C91" i="12" l="1"/>
  <c r="B46" i="12"/>
  <c r="D46" i="12" s="1"/>
  <c r="D50" i="12" s="1"/>
  <c r="D52" i="12" s="1"/>
  <c r="K84" i="12"/>
  <c r="D94" i="12"/>
  <c r="D99" i="12" s="1"/>
  <c r="D119" i="12"/>
  <c r="K117" i="12"/>
  <c r="C43" i="12"/>
  <c r="D132" i="12"/>
  <c r="D134" i="12" s="1"/>
  <c r="B134" i="12"/>
  <c r="K134" i="12" s="1"/>
  <c r="B50" i="12" l="1"/>
  <c r="B52" i="12" s="1"/>
  <c r="C134" i="12"/>
  <c r="D146" i="12"/>
  <c r="D159" i="12" s="1"/>
  <c r="D149" i="12"/>
  <c r="D162" i="12" s="1"/>
  <c r="K119" i="12"/>
  <c r="B137" i="12"/>
  <c r="B141" i="12" l="1"/>
  <c r="D137" i="12"/>
  <c r="D141" i="12" s="1"/>
  <c r="D143" i="12" s="1"/>
  <c r="D150" i="12" s="1"/>
  <c r="D147" i="1"/>
  <c r="D164" i="1" s="1"/>
  <c r="G146" i="1"/>
  <c r="G145" i="1"/>
  <c r="G144" i="1"/>
  <c r="G143" i="1"/>
  <c r="G142" i="1"/>
  <c r="G141" i="1"/>
  <c r="G140" i="1"/>
  <c r="G139" i="1"/>
  <c r="G138" i="1"/>
  <c r="G137" i="1"/>
  <c r="G136" i="1"/>
  <c r="G135" i="1"/>
  <c r="G134" i="1"/>
  <c r="G133" i="1"/>
  <c r="G132" i="1"/>
  <c r="D127" i="1"/>
  <c r="D159" i="1" l="1"/>
  <c r="G147" i="1"/>
  <c r="B143" i="12"/>
  <c r="K143" i="12" s="1"/>
  <c r="K141" i="12"/>
  <c r="D163" i="12"/>
  <c r="D164" i="12" s="1"/>
  <c r="D165" i="12" s="1"/>
  <c r="D151" i="12"/>
  <c r="C141" i="12"/>
  <c r="D30" i="2" l="1"/>
  <c r="D60" i="2" s="1"/>
  <c r="C36" i="9"/>
  <c r="H30" i="2" l="1"/>
  <c r="H31" i="2" s="1"/>
  <c r="C37" i="9"/>
  <c r="I38" i="9" s="1"/>
  <c r="D8" i="14" l="1"/>
  <c r="I2" i="5" l="1"/>
  <c r="F2" i="3"/>
  <c r="F2" i="9"/>
  <c r="F2" i="2"/>
  <c r="G2" i="1"/>
  <c r="C20" i="3" l="1"/>
  <c r="D14" i="13" l="1"/>
  <c r="E14" i="13"/>
  <c r="B83" i="2" l="1"/>
  <c r="B77" i="2" l="1"/>
  <c r="D82" i="2"/>
  <c r="B84" i="2"/>
  <c r="C29" i="13" l="1"/>
  <c r="E28" i="13"/>
  <c r="D28" i="13"/>
  <c r="A3" i="13"/>
  <c r="E9" i="13" l="1"/>
  <c r="E13" i="13"/>
  <c r="E17" i="13"/>
  <c r="E20" i="13"/>
  <c r="E22" i="13"/>
  <c r="E24" i="13"/>
  <c r="E26" i="13"/>
  <c r="D10" i="13"/>
  <c r="D12" i="13"/>
  <c r="D16" i="13"/>
  <c r="D19" i="13"/>
  <c r="D21" i="13"/>
  <c r="D23" i="13"/>
  <c r="D25" i="13"/>
  <c r="D27" i="13"/>
  <c r="E10" i="13"/>
  <c r="E12" i="13"/>
  <c r="E16" i="13"/>
  <c r="E19" i="13"/>
  <c r="E21" i="13"/>
  <c r="E23" i="13"/>
  <c r="E25" i="13"/>
  <c r="E27" i="13"/>
  <c r="E11" i="13"/>
  <c r="E15" i="13"/>
  <c r="E18" i="13"/>
  <c r="D9" i="13"/>
  <c r="D11" i="13"/>
  <c r="D13" i="13"/>
  <c r="D15" i="13"/>
  <c r="D17" i="13"/>
  <c r="D18" i="13"/>
  <c r="D20" i="13"/>
  <c r="D22" i="13"/>
  <c r="D24" i="13"/>
  <c r="D26" i="13"/>
  <c r="E29" i="13" l="1"/>
  <c r="D29" i="13"/>
  <c r="H14" i="5" s="1"/>
  <c r="D33" i="15" l="1"/>
  <c r="C33" i="15"/>
  <c r="E33" i="15"/>
  <c r="B19" i="14"/>
  <c r="H29" i="13"/>
  <c r="A3" i="10" l="1"/>
  <c r="F29" i="5"/>
  <c r="A3" i="5"/>
  <c r="C28" i="3"/>
  <c r="C29" i="3" s="1"/>
  <c r="A3" i="3"/>
  <c r="A3" i="9"/>
  <c r="G51" i="14" l="1"/>
  <c r="H65" i="15"/>
  <c r="B20" i="3"/>
  <c r="D20" i="3" s="1"/>
  <c r="D15" i="3"/>
  <c r="D22" i="3" l="1"/>
  <c r="D26" i="3" s="1"/>
  <c r="B87" i="2"/>
  <c r="B91" i="2" s="1"/>
  <c r="A3" i="2"/>
  <c r="G106" i="1"/>
  <c r="F106" i="1"/>
  <c r="E106" i="1"/>
  <c r="G105" i="1"/>
  <c r="F105" i="1"/>
  <c r="E105" i="1"/>
  <c r="G103" i="1"/>
  <c r="F103" i="1"/>
  <c r="E103" i="1"/>
  <c r="G102" i="1"/>
  <c r="F102" i="1"/>
  <c r="E102" i="1"/>
  <c r="G101" i="1"/>
  <c r="F101" i="1"/>
  <c r="E101" i="1"/>
  <c r="G100" i="1"/>
  <c r="F100" i="1"/>
  <c r="E100" i="1"/>
  <c r="G99" i="1"/>
  <c r="F99" i="1"/>
  <c r="E99" i="1"/>
  <c r="G98" i="1"/>
  <c r="F98" i="1"/>
  <c r="E98" i="1"/>
  <c r="G97" i="1"/>
  <c r="F97" i="1"/>
  <c r="E97" i="1"/>
  <c r="G96" i="1"/>
  <c r="F96" i="1"/>
  <c r="E96" i="1"/>
  <c r="G95" i="1"/>
  <c r="F95" i="1"/>
  <c r="E95" i="1"/>
  <c r="G51" i="1"/>
  <c r="G65" i="1"/>
  <c r="G64" i="1"/>
  <c r="G63" i="1"/>
  <c r="G62" i="1"/>
  <c r="G59" i="1"/>
  <c r="G58" i="1"/>
  <c r="G57" i="1"/>
  <c r="G56" i="1"/>
  <c r="G55" i="1"/>
  <c r="G54" i="1"/>
  <c r="G53" i="1"/>
  <c r="G52"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90" i="1"/>
  <c r="G89" i="1"/>
  <c r="G88" i="1"/>
  <c r="G87" i="1"/>
  <c r="G86" i="1"/>
  <c r="G85" i="1"/>
  <c r="G84" i="1"/>
  <c r="G83" i="1"/>
  <c r="G82" i="1"/>
  <c r="G81" i="1"/>
  <c r="G80" i="1"/>
  <c r="G79" i="1"/>
  <c r="G78" i="1"/>
  <c r="G77" i="1"/>
  <c r="G76" i="1"/>
  <c r="G75" i="1"/>
  <c r="G74" i="1"/>
  <c r="G73" i="1"/>
  <c r="G72" i="1"/>
  <c r="G71" i="1"/>
  <c r="G70" i="1"/>
  <c r="D107" i="1"/>
  <c r="D91" i="1"/>
  <c r="D188" i="1" s="1"/>
  <c r="F90" i="1"/>
  <c r="E90" i="1"/>
  <c r="F89" i="1"/>
  <c r="E89" i="1"/>
  <c r="F88" i="1"/>
  <c r="E88" i="1"/>
  <c r="F87" i="1"/>
  <c r="E87" i="1"/>
  <c r="F86" i="1"/>
  <c r="E86" i="1"/>
  <c r="F85" i="1"/>
  <c r="E85" i="1"/>
  <c r="F84" i="1"/>
  <c r="E84" i="1"/>
  <c r="F83" i="1"/>
  <c r="E83" i="1"/>
  <c r="F82" i="1"/>
  <c r="E82" i="1"/>
  <c r="F81" i="1"/>
  <c r="E81" i="1"/>
  <c r="F80" i="1"/>
  <c r="E80" i="1"/>
  <c r="F79" i="1"/>
  <c r="E79" i="1"/>
  <c r="F78" i="1"/>
  <c r="E78" i="1"/>
  <c r="F77" i="1"/>
  <c r="E77" i="1"/>
  <c r="F76" i="1"/>
  <c r="E76" i="1"/>
  <c r="F75" i="1"/>
  <c r="E75" i="1"/>
  <c r="F74" i="1"/>
  <c r="E74" i="1"/>
  <c r="F73" i="1"/>
  <c r="E73" i="1"/>
  <c r="F72" i="1"/>
  <c r="E72" i="1"/>
  <c r="F71" i="1"/>
  <c r="E71" i="1"/>
  <c r="F70" i="1"/>
  <c r="E70" i="1"/>
  <c r="D66" i="1"/>
  <c r="D184" i="1" s="1"/>
  <c r="F65" i="1"/>
  <c r="E65" i="1"/>
  <c r="F64" i="1"/>
  <c r="E64" i="1"/>
  <c r="F63" i="1"/>
  <c r="E63" i="1"/>
  <c r="F62" i="1"/>
  <c r="E62" i="1"/>
  <c r="F59" i="1"/>
  <c r="E59" i="1"/>
  <c r="F58" i="1"/>
  <c r="E58" i="1"/>
  <c r="F57" i="1"/>
  <c r="E57" i="1"/>
  <c r="F56" i="1"/>
  <c r="E56" i="1"/>
  <c r="F55" i="1"/>
  <c r="E55" i="1"/>
  <c r="F54" i="1"/>
  <c r="E54" i="1"/>
  <c r="F53" i="1"/>
  <c r="E53" i="1"/>
  <c r="F52" i="1"/>
  <c r="E52" i="1"/>
  <c r="F51" i="1"/>
  <c r="E51"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F35" i="1"/>
  <c r="E35" i="1"/>
  <c r="F34" i="1"/>
  <c r="E34" i="1"/>
  <c r="F33" i="1"/>
  <c r="E33" i="1"/>
  <c r="F32" i="1"/>
  <c r="E32" i="1"/>
  <c r="F31" i="1"/>
  <c r="E31" i="1"/>
  <c r="F30" i="1"/>
  <c r="E30" i="1"/>
  <c r="F29" i="1"/>
  <c r="E29" i="1"/>
  <c r="F28" i="1"/>
  <c r="E28" i="1"/>
  <c r="F27" i="1"/>
  <c r="E27" i="1"/>
  <c r="F26" i="1"/>
  <c r="E26" i="1"/>
  <c r="F25" i="1"/>
  <c r="E25" i="1"/>
  <c r="F24" i="1"/>
  <c r="E24" i="1"/>
  <c r="F23" i="1"/>
  <c r="E23" i="1"/>
  <c r="F22" i="1"/>
  <c r="E22" i="1"/>
  <c r="F21" i="1"/>
  <c r="E21" i="1"/>
  <c r="F20" i="1"/>
  <c r="E20" i="1"/>
  <c r="F19" i="1"/>
  <c r="E19" i="1"/>
  <c r="F18" i="1"/>
  <c r="E18" i="1"/>
  <c r="F17" i="1"/>
  <c r="E17" i="1"/>
  <c r="F16" i="1"/>
  <c r="E16" i="1"/>
  <c r="F15" i="1"/>
  <c r="E15" i="1"/>
  <c r="F14" i="1"/>
  <c r="E14" i="1"/>
  <c r="F13" i="1"/>
  <c r="E13" i="1"/>
  <c r="F12" i="1"/>
  <c r="E12" i="1"/>
  <c r="F11" i="1"/>
  <c r="E11" i="1"/>
  <c r="F10" i="1"/>
  <c r="E10" i="1"/>
  <c r="F9" i="1"/>
  <c r="B3" i="11"/>
  <c r="A3" i="11"/>
  <c r="C3" i="16" l="1"/>
  <c r="B3" i="14"/>
  <c r="D3" i="15"/>
  <c r="A3" i="14"/>
  <c r="A3" i="15"/>
  <c r="D155" i="1"/>
  <c r="C11" i="14" s="1"/>
  <c r="D154" i="1"/>
  <c r="D156" i="1"/>
  <c r="D149" i="1"/>
  <c r="D152" i="1" s="1"/>
  <c r="D62" i="2"/>
  <c r="C3" i="2"/>
  <c r="B3" i="13"/>
  <c r="C3" i="1"/>
  <c r="C3" i="3"/>
  <c r="B3" i="10"/>
  <c r="B3" i="9"/>
  <c r="D3" i="5"/>
  <c r="D37" i="2"/>
  <c r="I37" i="2" s="1"/>
  <c r="F104" i="1"/>
  <c r="F107" i="1" s="1"/>
  <c r="G104" i="1"/>
  <c r="G107" i="1" s="1"/>
  <c r="E104" i="1"/>
  <c r="E107" i="1" s="1"/>
  <c r="G66" i="1"/>
  <c r="G91" i="1"/>
  <c r="E91" i="1"/>
  <c r="F91" i="1"/>
  <c r="F66" i="1"/>
  <c r="E66" i="1"/>
  <c r="B11" i="14" l="1"/>
  <c r="D11" i="14" s="1"/>
  <c r="G11" i="14" s="1"/>
  <c r="J66" i="1"/>
  <c r="J91" i="1"/>
  <c r="J107" i="1"/>
  <c r="G154" i="1"/>
  <c r="G155" i="1"/>
  <c r="F155" i="1"/>
  <c r="D157" i="1"/>
  <c r="E156" i="1" s="1"/>
  <c r="E152" i="1"/>
  <c r="F154" i="1"/>
  <c r="E154" i="1" l="1"/>
  <c r="E160" i="1" s="1"/>
  <c r="D160" i="1" s="1"/>
  <c r="E155" i="1"/>
  <c r="E165" i="1"/>
  <c r="D165" i="1" s="1"/>
  <c r="F165" i="1" s="1"/>
  <c r="E166" i="1"/>
  <c r="D166" i="1" s="1"/>
  <c r="F166" i="1" s="1"/>
  <c r="E162" i="1"/>
  <c r="D162" i="1" s="1"/>
  <c r="D171" i="1" s="1"/>
  <c r="B103" i="2"/>
  <c r="B105" i="2" s="1"/>
  <c r="E157" i="1" l="1"/>
  <c r="E109" i="1"/>
  <c r="E112" i="1" s="1"/>
  <c r="F160" i="1"/>
  <c r="D169" i="1"/>
  <c r="D174" i="1"/>
  <c r="B12" i="14" s="1"/>
  <c r="D185" i="1"/>
  <c r="D186" i="1" s="1"/>
  <c r="F185" i="1" s="1"/>
  <c r="E161" i="1"/>
  <c r="D161" i="1" s="1"/>
  <c r="J166" i="1" s="1"/>
  <c r="F109" i="1"/>
  <c r="E125" i="1"/>
  <c r="E116" i="1"/>
  <c r="E114" i="1"/>
  <c r="E115" i="1"/>
  <c r="E118" i="1"/>
  <c r="E122" i="1"/>
  <c r="E126" i="1"/>
  <c r="E113" i="1"/>
  <c r="E120" i="1"/>
  <c r="G109" i="1"/>
  <c r="D81" i="2"/>
  <c r="D80" i="2"/>
  <c r="D90" i="2"/>
  <c r="D89" i="2"/>
  <c r="D88" i="2"/>
  <c r="B50" i="2"/>
  <c r="B49" i="2"/>
  <c r="B48" i="2"/>
  <c r="B47" i="2"/>
  <c r="C43" i="2"/>
  <c r="B43" i="2"/>
  <c r="C42" i="2"/>
  <c r="B42" i="2"/>
  <c r="C41" i="2"/>
  <c r="B41" i="2"/>
  <c r="B40" i="2"/>
  <c r="A40" i="2"/>
  <c r="A47" i="2" s="1"/>
  <c r="C37" i="2"/>
  <c r="B36" i="2"/>
  <c r="A36" i="2"/>
  <c r="A43" i="2" s="1"/>
  <c r="A50" i="2" s="1"/>
  <c r="B35" i="2"/>
  <c r="A35" i="2"/>
  <c r="A42" i="2" s="1"/>
  <c r="A49" i="2" s="1"/>
  <c r="B34" i="2"/>
  <c r="A48" i="2"/>
  <c r="E119" i="1" l="1"/>
  <c r="E121" i="1"/>
  <c r="E124" i="1"/>
  <c r="E123" i="1"/>
  <c r="E117" i="1"/>
  <c r="E127" i="1" s="1"/>
  <c r="F174" i="1"/>
  <c r="D175" i="1"/>
  <c r="C12" i="14" s="1"/>
  <c r="D12" i="14" s="1"/>
  <c r="D170" i="1"/>
  <c r="D172" i="1" s="1"/>
  <c r="E171" i="1" s="1"/>
  <c r="F161" i="1"/>
  <c r="D189" i="1"/>
  <c r="D190" i="1" s="1"/>
  <c r="F184" i="1"/>
  <c r="F186" i="1" s="1"/>
  <c r="G123" i="1"/>
  <c r="G114" i="1"/>
  <c r="G125" i="1"/>
  <c r="G120" i="1"/>
  <c r="G126" i="1"/>
  <c r="G124" i="1"/>
  <c r="G121" i="1"/>
  <c r="G115" i="1"/>
  <c r="G122" i="1"/>
  <c r="G116" i="1"/>
  <c r="G117" i="1"/>
  <c r="G119" i="1"/>
  <c r="G118" i="1"/>
  <c r="G112" i="1"/>
  <c r="G113" i="1"/>
  <c r="F113" i="1"/>
  <c r="F115" i="1"/>
  <c r="F118" i="1"/>
  <c r="F121" i="1"/>
  <c r="F124" i="1"/>
  <c r="F123" i="1"/>
  <c r="F117" i="1"/>
  <c r="F125" i="1"/>
  <c r="F120" i="1"/>
  <c r="F122" i="1"/>
  <c r="F114" i="1"/>
  <c r="F112" i="1"/>
  <c r="F116" i="1"/>
  <c r="F119" i="1"/>
  <c r="F126" i="1"/>
  <c r="C44" i="2"/>
  <c r="D44" i="2"/>
  <c r="D43" i="2" s="1"/>
  <c r="D50" i="2" s="1"/>
  <c r="D83" i="2"/>
  <c r="D84" i="2" s="1"/>
  <c r="J190" i="1" l="1"/>
  <c r="D192" i="1"/>
  <c r="F175" i="1"/>
  <c r="F176" i="1" s="1"/>
  <c r="D176" i="1"/>
  <c r="J176" i="1" s="1"/>
  <c r="E190" i="1"/>
  <c r="G12" i="14"/>
  <c r="F127" i="1"/>
  <c r="G127" i="1"/>
  <c r="D41" i="2"/>
  <c r="D48" i="2" s="1"/>
  <c r="D42" i="2"/>
  <c r="D49" i="2" s="1"/>
  <c r="D97" i="2"/>
  <c r="D51" i="2" l="1"/>
  <c r="E185" i="1"/>
  <c r="E175" i="1"/>
  <c r="E174" i="1"/>
  <c r="E169" i="1"/>
  <c r="E170" i="1"/>
  <c r="E184" i="1"/>
  <c r="F15" i="2"/>
  <c r="J172" i="1"/>
  <c r="J127" i="1"/>
  <c r="F14" i="2"/>
  <c r="G149" i="1"/>
  <c r="J171" i="1" s="1"/>
  <c r="D56" i="2"/>
  <c r="B93" i="2"/>
  <c r="I93" i="2" s="1"/>
  <c r="D87" i="2"/>
  <c r="D91" i="2" s="1"/>
  <c r="E107" i="2" l="1"/>
  <c r="E8" i="16"/>
  <c r="E12" i="3"/>
  <c r="F8" i="16"/>
  <c r="F12" i="3"/>
  <c r="E186" i="1"/>
  <c r="E172" i="1"/>
  <c r="F6" i="9"/>
  <c r="E129" i="1"/>
  <c r="D13" i="9"/>
  <c r="D32" i="9" s="1"/>
  <c r="E32" i="9" s="1"/>
  <c r="F7" i="9"/>
  <c r="F13" i="9"/>
  <c r="F32" i="9" s="1"/>
  <c r="F107" i="2"/>
  <c r="F13" i="2"/>
  <c r="F12" i="2"/>
  <c r="F129" i="1"/>
  <c r="E176" i="1"/>
  <c r="D93" i="2"/>
  <c r="D99" i="2" s="1"/>
  <c r="F13" i="3" l="1"/>
  <c r="F24" i="3" s="1"/>
  <c r="F21" i="3"/>
  <c r="F20" i="3"/>
  <c r="F62" i="16"/>
  <c r="F43" i="16"/>
  <c r="F27" i="16"/>
  <c r="F11" i="16"/>
  <c r="F40" i="16"/>
  <c r="F24" i="16"/>
  <c r="F13" i="16"/>
  <c r="F9" i="16"/>
  <c r="F41" i="16"/>
  <c r="F25" i="16"/>
  <c r="F54" i="16"/>
  <c r="F38" i="16"/>
  <c r="F22" i="16"/>
  <c r="F42" i="16"/>
  <c r="F55" i="16"/>
  <c r="F39" i="16"/>
  <c r="F23" i="16"/>
  <c r="F52" i="16"/>
  <c r="F36" i="16"/>
  <c r="F20" i="16"/>
  <c r="F16" i="16"/>
  <c r="F15" i="16"/>
  <c r="F53" i="16"/>
  <c r="F37" i="16"/>
  <c r="F21" i="16"/>
  <c r="F50" i="16"/>
  <c r="F34" i="16"/>
  <c r="F18" i="16"/>
  <c r="F32" i="16"/>
  <c r="F31" i="16"/>
  <c r="F45" i="16"/>
  <c r="F10" i="16"/>
  <c r="F51" i="16"/>
  <c r="F35" i="16"/>
  <c r="F19" i="16"/>
  <c r="F48" i="16"/>
  <c r="F44" i="16"/>
  <c r="F26" i="16"/>
  <c r="F49" i="16"/>
  <c r="F33" i="16"/>
  <c r="F17" i="16"/>
  <c r="F46" i="16"/>
  <c r="F30" i="16"/>
  <c r="F14" i="16"/>
  <c r="F12" i="16"/>
  <c r="F47" i="16"/>
  <c r="F28" i="16"/>
  <c r="F29" i="16"/>
  <c r="E21" i="3"/>
  <c r="E13" i="3"/>
  <c r="E20" i="3"/>
  <c r="E62" i="16"/>
  <c r="E45" i="16"/>
  <c r="E29" i="16"/>
  <c r="E13" i="16"/>
  <c r="E50" i="16"/>
  <c r="E34" i="16"/>
  <c r="E12" i="16"/>
  <c r="E43" i="16"/>
  <c r="E27" i="16"/>
  <c r="E11" i="16"/>
  <c r="E48" i="16"/>
  <c r="E32" i="16"/>
  <c r="E47" i="16"/>
  <c r="E9" i="16"/>
  <c r="E41" i="16"/>
  <c r="E25" i="16"/>
  <c r="E24" i="16"/>
  <c r="E46" i="16"/>
  <c r="E30" i="16"/>
  <c r="E14" i="16"/>
  <c r="E55" i="16"/>
  <c r="E39" i="16"/>
  <c r="E23" i="16"/>
  <c r="E20" i="16"/>
  <c r="E44" i="16"/>
  <c r="E28" i="16"/>
  <c r="E15" i="16"/>
  <c r="E53" i="16"/>
  <c r="E37" i="16"/>
  <c r="E21" i="16"/>
  <c r="E16" i="16"/>
  <c r="E42" i="16"/>
  <c r="E26" i="16"/>
  <c r="E52" i="16"/>
  <c r="E51" i="16"/>
  <c r="E35" i="16"/>
  <c r="E19" i="16"/>
  <c r="E10" i="16"/>
  <c r="E40" i="16"/>
  <c r="E22" i="16"/>
  <c r="E18" i="16"/>
  <c r="E36" i="16"/>
  <c r="E49" i="16"/>
  <c r="E33" i="16"/>
  <c r="E17" i="16"/>
  <c r="E54" i="16"/>
  <c r="E38" i="16"/>
  <c r="E31" i="16"/>
  <c r="F145" i="1"/>
  <c r="F141" i="1"/>
  <c r="F137" i="1"/>
  <c r="F133" i="1"/>
  <c r="F143" i="1"/>
  <c r="F144" i="1"/>
  <c r="F132" i="1"/>
  <c r="F146" i="1"/>
  <c r="F142" i="1"/>
  <c r="F138" i="1"/>
  <c r="F134" i="1"/>
  <c r="F139" i="1"/>
  <c r="F135" i="1"/>
  <c r="F140" i="1"/>
  <c r="F136" i="1"/>
  <c r="E140" i="1"/>
  <c r="E142" i="1"/>
  <c r="E137" i="1"/>
  <c r="E139" i="1"/>
  <c r="E136" i="1"/>
  <c r="E134" i="1"/>
  <c r="E133" i="1"/>
  <c r="E135" i="1"/>
  <c r="E132" i="1"/>
  <c r="E145" i="1"/>
  <c r="E138" i="1"/>
  <c r="E144" i="1"/>
  <c r="E146" i="1"/>
  <c r="E141" i="1"/>
  <c r="E143" i="1"/>
  <c r="I62" i="16" l="1"/>
  <c r="E24" i="3"/>
  <c r="E15" i="3"/>
  <c r="E56" i="16"/>
  <c r="I56" i="16" s="1"/>
  <c r="F56" i="16"/>
  <c r="F64" i="16" s="1"/>
  <c r="F147" i="1"/>
  <c r="E147" i="1"/>
  <c r="E149" i="1" s="1"/>
  <c r="E64" i="16" l="1"/>
  <c r="I64" i="16" s="1"/>
  <c r="J169" i="1"/>
  <c r="J174" i="1"/>
  <c r="J147" i="1"/>
  <c r="F149" i="1"/>
  <c r="J175" i="1" s="1"/>
  <c r="J170" i="1" l="1"/>
  <c r="J149" i="1"/>
  <c r="C7" i="10"/>
  <c r="C8" i="10" s="1"/>
  <c r="C9" i="10" s="1"/>
  <c r="C10" i="10" s="1"/>
  <c r="C11" i="10" s="1"/>
  <c r="C12" i="10" s="1"/>
  <c r="C13" i="10" s="1"/>
  <c r="C14" i="10" s="1"/>
  <c r="B118" i="2" s="1"/>
  <c r="D118" i="2" s="1"/>
  <c r="E118" i="2" s="1"/>
  <c r="I13" i="3"/>
  <c r="D111" i="2"/>
  <c r="D110" i="2"/>
  <c r="D109" i="2"/>
  <c r="E56" i="15" l="1"/>
  <c r="D56" i="15"/>
  <c r="C56" i="15"/>
  <c r="B42" i="14"/>
  <c r="F15" i="3"/>
  <c r="E22" i="3" l="1"/>
  <c r="E26" i="3" s="1"/>
  <c r="D30" i="3"/>
  <c r="D55" i="2"/>
  <c r="D52" i="2"/>
  <c r="D96" i="2" s="1"/>
  <c r="D108" i="2" l="1"/>
  <c r="D112" i="2" s="1"/>
  <c r="F22" i="3"/>
  <c r="D100" i="2"/>
  <c r="D57" i="2"/>
  <c r="I22" i="3" l="1"/>
  <c r="F26" i="3"/>
  <c r="D113" i="2"/>
  <c r="D114" i="2" s="1"/>
  <c r="D33" i="9" l="1"/>
  <c r="E33" i="9" s="1"/>
  <c r="E114" i="2"/>
  <c r="C32" i="13"/>
  <c r="F114" i="2"/>
  <c r="F122" i="2" s="1"/>
  <c r="F33" i="9"/>
  <c r="F30" i="3"/>
  <c r="I10" i="5" s="1"/>
  <c r="D119" i="2" l="1"/>
  <c r="C34" i="13"/>
  <c r="C35" i="13" s="1"/>
  <c r="H36" i="13" s="1"/>
  <c r="D16" i="9"/>
  <c r="E16" i="9" s="1"/>
  <c r="D15" i="9"/>
  <c r="E15" i="9" s="1"/>
  <c r="D24" i="9"/>
  <c r="E24" i="9" s="1"/>
  <c r="D20" i="9"/>
  <c r="E20" i="9" s="1"/>
  <c r="D27" i="9"/>
  <c r="E27" i="9" s="1"/>
  <c r="D21" i="9"/>
  <c r="E21" i="9" s="1"/>
  <c r="D30" i="9"/>
  <c r="E30" i="9" s="1"/>
  <c r="D18" i="9"/>
  <c r="E18" i="9" s="1"/>
  <c r="D25" i="9"/>
  <c r="E25" i="9" s="1"/>
  <c r="D19" i="9"/>
  <c r="E19" i="9" s="1"/>
  <c r="D28" i="9"/>
  <c r="E28" i="9" s="1"/>
  <c r="D31" i="9"/>
  <c r="E31" i="9" s="1"/>
  <c r="D14" i="9"/>
  <c r="D26" i="9"/>
  <c r="E26" i="9" s="1"/>
  <c r="D23" i="9"/>
  <c r="E23" i="9" s="1"/>
  <c r="D29" i="9"/>
  <c r="E29" i="9" s="1"/>
  <c r="D17" i="9"/>
  <c r="E17" i="9" s="1"/>
  <c r="D22" i="9"/>
  <c r="E22" i="9" s="1"/>
  <c r="E32" i="13"/>
  <c r="D32" i="13"/>
  <c r="F27" i="9"/>
  <c r="F29" i="9"/>
  <c r="F19" i="9"/>
  <c r="F21" i="9"/>
  <c r="I8" i="5"/>
  <c r="F30" i="9"/>
  <c r="F31" i="9"/>
  <c r="F16" i="9"/>
  <c r="F18" i="9"/>
  <c r="F26" i="9"/>
  <c r="F17" i="9"/>
  <c r="F24" i="9"/>
  <c r="F23" i="9"/>
  <c r="F14" i="9"/>
  <c r="F28" i="9"/>
  <c r="F25" i="9"/>
  <c r="F22" i="9"/>
  <c r="F20" i="9"/>
  <c r="F15" i="9"/>
  <c r="E57" i="15" l="1"/>
  <c r="D57" i="15"/>
  <c r="E119" i="2"/>
  <c r="E120" i="2" s="1"/>
  <c r="E122" i="2" s="1"/>
  <c r="H8" i="5" s="1"/>
  <c r="E6" i="15" s="1"/>
  <c r="D120" i="2"/>
  <c r="B41" i="14"/>
  <c r="D55" i="15"/>
  <c r="C55" i="15"/>
  <c r="E55" i="15"/>
  <c r="F28" i="15"/>
  <c r="E14" i="9"/>
  <c r="C28" i="15"/>
  <c r="B43" i="14"/>
  <c r="C57" i="15"/>
  <c r="C15" i="14"/>
  <c r="F29" i="15"/>
  <c r="G14" i="5"/>
  <c r="E34" i="13"/>
  <c r="E35" i="13" s="1"/>
  <c r="I14" i="5" s="1"/>
  <c r="D34" i="13"/>
  <c r="D35" i="13" s="1"/>
  <c r="E30" i="3"/>
  <c r="H10" i="5" s="1"/>
  <c r="G10" i="5" s="1"/>
  <c r="F34" i="9"/>
  <c r="F36" i="9" s="1"/>
  <c r="D34" i="9"/>
  <c r="D36" i="9" s="1"/>
  <c r="C14" i="14"/>
  <c r="H32" i="13"/>
  <c r="E8" i="15" l="1"/>
  <c r="C22" i="15" s="1"/>
  <c r="C23" i="15" s="1"/>
  <c r="H23" i="15" s="1"/>
  <c r="I122" i="2"/>
  <c r="B14" i="14"/>
  <c r="D14" i="14" s="1"/>
  <c r="G8" i="5"/>
  <c r="D122" i="2"/>
  <c r="I123" i="2" s="1"/>
  <c r="B15" i="14"/>
  <c r="D15" i="14" s="1"/>
  <c r="G15" i="14" s="1"/>
  <c r="D29" i="15"/>
  <c r="D54" i="15" s="1"/>
  <c r="E29" i="15"/>
  <c r="E54" i="15" s="1"/>
  <c r="C29" i="15"/>
  <c r="C54" i="15" s="1"/>
  <c r="F33" i="15"/>
  <c r="C19" i="14"/>
  <c r="D19" i="14" s="1"/>
  <c r="G19" i="14" s="1"/>
  <c r="D37" i="9"/>
  <c r="I30" i="3"/>
  <c r="H35" i="13"/>
  <c r="H34" i="13"/>
  <c r="C14" i="15" l="1"/>
  <c r="C15" i="15" s="1"/>
  <c r="H15" i="15" s="1"/>
  <c r="G14" i="14"/>
  <c r="B40" i="14"/>
  <c r="D28" i="15"/>
  <c r="E28" i="15"/>
  <c r="E22" i="15"/>
  <c r="E23" i="15" s="1"/>
  <c r="H24" i="15" s="1"/>
  <c r="F37" i="9"/>
  <c r="I9" i="5" s="1"/>
  <c r="F30" i="15" s="1"/>
  <c r="H9" i="5"/>
  <c r="E14" i="15" l="1"/>
  <c r="E15" i="15" s="1"/>
  <c r="H16" i="15" s="1"/>
  <c r="D30" i="15"/>
  <c r="B16" i="14"/>
  <c r="E30" i="15"/>
  <c r="G9" i="5"/>
  <c r="G12" i="5" s="1"/>
  <c r="C30" i="15"/>
  <c r="H28" i="15"/>
  <c r="C16" i="14"/>
  <c r="D166" i="12"/>
  <c r="G13" i="5" s="1"/>
  <c r="I12" i="5" l="1"/>
  <c r="C17" i="14" s="1"/>
  <c r="D17" i="14" s="1"/>
  <c r="G17" i="14" s="1"/>
  <c r="F166" i="12"/>
  <c r="I13" i="5" s="1"/>
  <c r="E166" i="12"/>
  <c r="H13" i="5" s="1"/>
  <c r="D32" i="15" s="1"/>
  <c r="D16" i="14"/>
  <c r="G16" i="14" s="1"/>
  <c r="G15" i="5" l="1"/>
  <c r="F31" i="15"/>
  <c r="C32" i="15"/>
  <c r="E32" i="15"/>
  <c r="E34" i="15" s="1"/>
  <c r="E64" i="15" s="1"/>
  <c r="D34" i="15"/>
  <c r="D64" i="15" s="1"/>
  <c r="H15" i="5"/>
  <c r="B50" i="14" s="1"/>
  <c r="G50" i="14" s="1"/>
  <c r="B18" i="14"/>
  <c r="B20" i="14" s="1"/>
  <c r="I15" i="5"/>
  <c r="I24" i="5" s="1"/>
  <c r="I34" i="5" s="1"/>
  <c r="I41" i="5" s="1"/>
  <c r="I46" i="5" s="1"/>
  <c r="C18" i="14"/>
  <c r="C20" i="14" s="1"/>
  <c r="F32" i="15"/>
  <c r="F43" i="15" l="1"/>
  <c r="F46" i="15" s="1"/>
  <c r="C30" i="14"/>
  <c r="H24" i="5"/>
  <c r="H30" i="5" s="1"/>
  <c r="B44" i="14"/>
  <c r="B45" i="14" s="1"/>
  <c r="E58" i="15"/>
  <c r="E59" i="15" s="1"/>
  <c r="E36" i="15"/>
  <c r="D58" i="15"/>
  <c r="D59" i="15" s="1"/>
  <c r="D36" i="15"/>
  <c r="C34" i="15"/>
  <c r="C64" i="15" s="1"/>
  <c r="H64" i="15" s="1"/>
  <c r="F34" i="15"/>
  <c r="D18" i="14"/>
  <c r="G18" i="14" s="1"/>
  <c r="I51" i="5"/>
  <c r="I50" i="5"/>
  <c r="D30" i="14" l="1"/>
  <c r="D33" i="14" s="1"/>
  <c r="C33" i="14"/>
  <c r="G24" i="5"/>
  <c r="A25" i="14"/>
  <c r="A38" i="15"/>
  <c r="A25" i="5"/>
  <c r="C58" i="15"/>
  <c r="C59" i="15" s="1"/>
  <c r="C36" i="15"/>
  <c r="D43" i="15"/>
  <c r="E43" i="15"/>
  <c r="C43" i="15"/>
  <c r="D20" i="14"/>
  <c r="G20" i="14" s="1"/>
  <c r="H34" i="5"/>
  <c r="H32" i="5"/>
  <c r="C46" i="15" l="1"/>
  <c r="E46" i="15"/>
  <c r="D46" i="15"/>
  <c r="E39" i="15"/>
  <c r="E47" i="15" s="1"/>
  <c r="H34" i="15"/>
  <c r="C39" i="15"/>
  <c r="C42" i="15" s="1"/>
  <c r="B23" i="14"/>
  <c r="D23" i="14" s="1"/>
  <c r="G34" i="5"/>
  <c r="H39" i="5"/>
  <c r="B26" i="14" s="1"/>
  <c r="C47" i="15" l="1"/>
  <c r="C50" i="15" s="1"/>
  <c r="E50" i="15"/>
  <c r="E42" i="15"/>
  <c r="D39" i="15"/>
  <c r="D47" i="15" s="1"/>
  <c r="H41" i="5"/>
  <c r="H50" i="5" s="1"/>
  <c r="G50" i="5" s="1"/>
  <c r="B29" i="14"/>
  <c r="H48" i="5"/>
  <c r="H51" i="5"/>
  <c r="G51" i="5" s="1"/>
  <c r="D26" i="14" l="1"/>
  <c r="D50" i="15"/>
  <c r="H50" i="15" s="1"/>
  <c r="D42" i="15"/>
  <c r="G41" i="5"/>
  <c r="D29" i="14" l="1"/>
  <c r="D34" i="14"/>
  <c r="G35"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D7" authorId="0" shapeId="0" xr:uid="{00000000-0006-0000-0200-000001000000}">
      <text>
        <r>
          <rPr>
            <sz val="9"/>
            <color indexed="81"/>
            <rFont val="Tahoma"/>
            <family val="2"/>
          </rPr>
          <t>Beispielhafte Aufzählung: Siehe Ausfüllhilfe Anhang A</t>
        </r>
      </text>
    </comment>
    <comment ref="D68" authorId="0" shapeId="0" xr:uid="{00000000-0006-0000-0200-000002000000}">
      <text>
        <r>
          <rPr>
            <sz val="9"/>
            <color indexed="81"/>
            <rFont val="Tahoma"/>
            <family val="2"/>
          </rPr>
          <t>Beispielhafte Aufzählung: Siehe Ausfüllhilfe Anhang A</t>
        </r>
      </text>
    </comment>
    <comment ref="D93" authorId="0" shapeId="0" xr:uid="{00000000-0006-0000-0200-000003000000}">
      <text>
        <r>
          <rPr>
            <sz val="9"/>
            <color indexed="81"/>
            <rFont val="Tahoma"/>
            <family val="2"/>
          </rPr>
          <t>Beispielhafte Aufzählung: Siehe Ausfüllhilfe Anhang A</t>
        </r>
      </text>
    </comment>
    <comment ref="A109" authorId="0" shapeId="0" xr:uid="{00000000-0006-0000-0200-000004000000}">
      <text>
        <r>
          <rPr>
            <sz val="9"/>
            <color indexed="81"/>
            <rFont val="Tahoma"/>
            <family val="2"/>
          </rPr>
          <t>Beispielhafte Aufzählung: Siehe Ausfüllhilfe Anhang A</t>
        </r>
      </text>
    </comment>
    <comment ref="A129" authorId="0" shapeId="0" xr:uid="{00000000-0006-0000-0200-000005000000}">
      <text>
        <r>
          <rPr>
            <sz val="9"/>
            <color indexed="81"/>
            <rFont val="Tahoma"/>
            <family val="2"/>
          </rPr>
          <t>Beispielhafte Aufzählung: Siehe Ausfüllhilfe Anhang 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E29" authorId="0" shapeId="0" xr:uid="{00000000-0006-0000-0300-000001000000}">
      <text>
        <r>
          <rPr>
            <sz val="9"/>
            <color indexed="81"/>
            <rFont val="Tahoma"/>
            <family val="2"/>
          </rPr>
          <t>Tatsächliche und betriebsnotwendige Kosten der KG 700 von bis zu 22% der Summe der KG 300 – 500 werden ohne weitere Nachweise als angemessen anerkannt.</t>
        </r>
      </text>
    </comment>
    <comment ref="A46" authorId="0" shapeId="0" xr:uid="{00000000-0006-0000-0300-000002000000}">
      <text>
        <r>
          <rPr>
            <sz val="9"/>
            <color indexed="81"/>
            <rFont val="Tahoma"/>
            <family val="2"/>
          </rPr>
          <t xml:space="preserve">Sofern keine Aufteilung der AHK nach Kostengruppen ermittelbar ist, kann für Gebäude, die ab 2005 in Betrieb genommen wurden, statt der gestaffelten AfA-Sätze (Gebäude 2,0%, technische Anlagen 6,7% und Außenanlagen 4%) ein einheitlicher AfA-Satz von 3,33% angesetzt werden. Das KdU-Tool berechnet dies automatisiert, wenn Sie in Feld D18 ein "x" setzen.
Für Gebäude, die vor dem 01.01.2005 in Betrieb genommen wurden, wird eine einheitliche Abschreibung über alle Kostengruppen in Höhe von 2,45% angesetzt.
Das Tool berechnet dies automatisch in Abhängigkeit von dem Jahr der Inbetriebnahme, das Sie im Reiter Stammdaten Feld B8 eingetragen haben. Bitte füllen Sie dieses Feld auf jeden Fall aus.
</t>
        </r>
      </text>
    </comment>
    <comment ref="C87" authorId="0" shapeId="0" xr:uid="{00000000-0006-0000-0300-000003000000}">
      <text>
        <r>
          <rPr>
            <sz val="9"/>
            <color indexed="81"/>
            <rFont val="Tahoma"/>
            <family val="2"/>
          </rPr>
          <t xml:space="preserve">Im KdU-Tool ist standardmäßig eine Eigenkapitalverzinsung von 1,5% eingetragen. Dieser gilt mit Stand Mai 2020 als marktüblich. Das Feld ist gelb hinterlegt, weil künftige Änderungen des marktüblichen Zinssatzes nicht ausgeschlossen werden können.
</t>
        </r>
      </text>
    </comment>
    <comment ref="C89" authorId="0" shapeId="0" xr:uid="{00000000-0006-0000-0300-000004000000}">
      <text>
        <r>
          <rPr>
            <sz val="9"/>
            <color indexed="81"/>
            <rFont val="Tahoma"/>
            <family val="2"/>
          </rPr>
          <t xml:space="preserve">Im KdU-Tool ist standardmäßig eine Eigenkapitalverzinsung von 1,5% eingetragen. Dieser gilt mit Stand Mai 2020 als marktüblich. Das Feld ist gelb hinterlegt, weil künftige Änderungen des marktüblichen Zinssatzes nicht ausgeschlossen werden können.
</t>
        </r>
      </text>
    </comment>
    <comment ref="C90" authorId="0" shapeId="0" xr:uid="{00000000-0006-0000-0300-000005000000}">
      <text>
        <r>
          <rPr>
            <sz val="9"/>
            <color indexed="81"/>
            <rFont val="Tahoma"/>
            <family val="2"/>
          </rPr>
          <t xml:space="preserve">Im KdU-Tool ist standardmäßig eine Eigenkapitalverzinsung von 1,5% eingetragen. Dieser gilt mit Stand Mai 2020 als marktüblich. Das Feld ist gelb hinterlegt, weil künftige Änderungen des marktüblichen Zinssatzes nicht ausgeschlossen werden können.
</t>
        </r>
      </text>
    </comment>
    <comment ref="B104" authorId="0" shapeId="0" xr:uid="{00000000-0006-0000-0300-000006000000}">
      <text>
        <r>
          <rPr>
            <sz val="9"/>
            <color indexed="81"/>
            <rFont val="Tahoma"/>
            <family val="2"/>
          </rPr>
          <t>Hinterlegt ist die Auslastung gem. Schiedsstelle SGB XII Stand März 2016. Für Kurzzeit-Unterbringung ist hier ggfs eine realistische niedrigere Auslastung anzusetzen.</t>
        </r>
      </text>
    </comment>
    <comment ref="D112" authorId="0" shapeId="0" xr:uid="{00000000-0006-0000-0300-000007000000}">
      <text>
        <r>
          <rPr>
            <sz val="9"/>
            <color indexed="81"/>
            <rFont val="Tahoma"/>
            <family val="2"/>
          </rPr>
          <t>Sofern die Anschaffungs- und Herstellkosten nicht mehr ermittelbar sind und deshalb in Feld D8 ein "x" gesetzt wurde, wird hier der bisherige IK-Satz ausgewiesen und in eine Monatsmiete umgerechnet.
Da dieser bereits einen Anteil für Ausstattung enthällt, ist Blatt 
"D Ausstattung" dann nicht mehr auszufüllen.
Wurde "x" in Feld D6 gesetzt (Berechnung auf Basis der Ist-Kosten), wird hier die sich ergebende Kaltmiete pro Tag ausgegeben und anschließend in einen Monatsmiete umgerechnet.</t>
        </r>
      </text>
    </comment>
    <comment ref="B118" authorId="0" shapeId="0" xr:uid="{00000000-0006-0000-0300-000008000000}">
      <text>
        <r>
          <rPr>
            <sz val="9"/>
            <color indexed="81"/>
            <rFont val="Tahoma"/>
            <family val="2"/>
          </rPr>
          <t>Bitte achten Sie darauf, im Reiter "Anl. Verw.kosten" die Werte auf den Stand des aktuellen Jahres zu aktualisieren.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Schyra, Matthias</author>
  </authors>
  <commentList>
    <comment ref="C43" authorId="0" shapeId="0" xr:uid="{00000000-0006-0000-0400-000001000000}">
      <text>
        <r>
          <rPr>
            <b/>
            <sz val="8"/>
            <color indexed="81"/>
            <rFont val="Tahoma"/>
            <family val="2"/>
          </rPr>
          <t>Administrator:</t>
        </r>
        <r>
          <rPr>
            <sz val="8"/>
            <color indexed="81"/>
            <rFont val="Tahoma"/>
            <family val="2"/>
          </rPr>
          <t xml:space="preserve">
durchschnittlicher Zins
</t>
        </r>
      </text>
    </comment>
    <comment ref="C46" authorId="1" shapeId="0" xr:uid="{00000000-0006-0000-0400-000002000000}">
      <text>
        <r>
          <rPr>
            <sz val="9"/>
            <color indexed="81"/>
            <rFont val="Tahoma"/>
            <family val="2"/>
          </rPr>
          <t>wie EK-Zins Gebäude Kaltmiete Reiter B_1, wird per Formel übernommen.</t>
        </r>
      </text>
    </comment>
    <comment ref="C48" authorId="1" shapeId="0" xr:uid="{00000000-0006-0000-0400-000003000000}">
      <text>
        <r>
          <rPr>
            <sz val="9"/>
            <color indexed="81"/>
            <rFont val="Tahoma"/>
            <family val="2"/>
          </rPr>
          <t xml:space="preserve">wie EK-Zins Gebäude Kaltmiete Reiter B_1, wird per Formel übernommen.
</t>
        </r>
      </text>
    </comment>
    <comment ref="C49" authorId="1" shapeId="0" xr:uid="{00000000-0006-0000-0400-000004000000}">
      <text>
        <r>
          <rPr>
            <sz val="9"/>
            <color indexed="81"/>
            <rFont val="Tahoma"/>
            <family val="2"/>
          </rPr>
          <t xml:space="preserve">wie EK-Zins Gebäude Kaltmiete Reiter B_1, wird per Formel übernommen.
</t>
        </r>
      </text>
    </comment>
    <comment ref="C134" authorId="0" shapeId="0" xr:uid="{00000000-0006-0000-0400-000005000000}">
      <text>
        <r>
          <rPr>
            <b/>
            <sz val="8"/>
            <color indexed="81"/>
            <rFont val="Tahoma"/>
            <family val="2"/>
          </rPr>
          <t>Administrator:</t>
        </r>
        <r>
          <rPr>
            <sz val="8"/>
            <color indexed="81"/>
            <rFont val="Tahoma"/>
            <family val="2"/>
          </rPr>
          <t xml:space="preserve">
durchschnittlicher Zins
</t>
        </r>
      </text>
    </comment>
    <comment ref="C141" authorId="0" shapeId="0" xr:uid="{00000000-0006-0000-0400-000006000000}">
      <text>
        <r>
          <rPr>
            <b/>
            <sz val="8"/>
            <color indexed="81"/>
            <rFont val="Tahoma"/>
            <family val="2"/>
          </rPr>
          <t>Administrator:</t>
        </r>
        <r>
          <rPr>
            <sz val="8"/>
            <color indexed="81"/>
            <rFont val="Tahoma"/>
            <family val="2"/>
          </rPr>
          <t xml:space="preserve">
durchschnittlicher Zins
</t>
        </r>
      </text>
    </comment>
    <comment ref="F158" authorId="1" shapeId="0" xr:uid="{00000000-0006-0000-0400-000007000000}">
      <text>
        <r>
          <rPr>
            <sz val="9"/>
            <color indexed="81"/>
            <rFont val="Tahoma"/>
            <family val="2"/>
          </rPr>
          <t>Kosten der Sonder-Infrastruktur werden zu 100% dem Fachleistungsanteil zugeordnet, da sie im Assistenzbedarf der Leistungsberechtigten begründet liegen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B27" authorId="0" shapeId="0" xr:uid="{00000000-0006-0000-0500-000001000000}">
      <text>
        <r>
          <rPr>
            <b/>
            <sz val="9"/>
            <color indexed="81"/>
            <rFont val="Tahoma"/>
            <family val="2"/>
          </rPr>
          <t xml:space="preserve">Bitte ändern Sie die Positionierung der Zeile für Telekommunikation u.a. </t>
        </r>
        <r>
          <rPr>
            <b/>
            <u/>
            <sz val="9"/>
            <color indexed="81"/>
            <rFont val="Tahoma"/>
            <family val="2"/>
          </rPr>
          <t>nicht</t>
        </r>
        <r>
          <rPr>
            <b/>
            <sz val="9"/>
            <color indexed="81"/>
            <rFont val="Tahoma"/>
            <family val="2"/>
          </rPr>
          <t xml:space="preserve"> manuell ab</t>
        </r>
        <r>
          <rPr>
            <sz val="9"/>
            <color indexed="81"/>
            <rFont val="Tahoma"/>
            <family val="2"/>
          </rPr>
          <t>, da das Tool aus diesem Wert die Zuschläge für Telekommunikation sowie Zugang zu Rundfunk, Fernsehen, Internet  automatisiert berechnet und in der Ergebnisübersicht unter den Zuschlägen gem. §42a Absatz 5 Satz 4 Nr.1-4 SGB XII ausweist.</t>
        </r>
      </text>
    </comment>
    <comment ref="A30" authorId="0" shapeId="0" xr:uid="{00000000-0006-0000-0500-000002000000}">
      <text>
        <r>
          <rPr>
            <b/>
            <sz val="9"/>
            <color indexed="81"/>
            <rFont val="Tahoma"/>
            <family val="2"/>
          </rPr>
          <t xml:space="preserve">Bitte ändern Sie die Positionierung der Zeile für Strom </t>
        </r>
        <r>
          <rPr>
            <b/>
            <u/>
            <sz val="9"/>
            <color indexed="81"/>
            <rFont val="Tahoma"/>
            <family val="2"/>
          </rPr>
          <t>nicht</t>
        </r>
        <r>
          <rPr>
            <b/>
            <sz val="9"/>
            <color indexed="81"/>
            <rFont val="Tahoma"/>
            <family val="2"/>
          </rPr>
          <t xml:space="preserve"> manuell ab</t>
        </r>
        <r>
          <rPr>
            <sz val="9"/>
            <color indexed="81"/>
            <rFont val="Tahoma"/>
            <family val="2"/>
          </rPr>
          <t>, da das Tool aus diesen Werten den Zuschlag für Haushaltsstrom automatisiert berechnet und in der Ergebnisübersicht unter den Zuschlägen 
gem. §42a Absatz 5 Satz 4 Nr.1-4 SGB XII ausweist.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E8" authorId="0" shapeId="0" xr:uid="{00000000-0006-0000-0600-000001000000}">
      <text>
        <r>
          <rPr>
            <sz val="9"/>
            <color indexed="81"/>
            <rFont val="Tahoma"/>
            <family val="2"/>
          </rPr>
          <t>Nebenkosten der Sonderinfrastruktur werden zu 100% dem Fachleistungsanteil zugeordnet, da das Vorhandesein solcher  Sonder-Infrastruktur im Assistenzbedarf der Leistungsberechtigten begründet liegt.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C20" authorId="0" shapeId="0" xr:uid="{00000000-0006-0000-0700-000001000000}">
      <text>
        <r>
          <rPr>
            <sz val="9"/>
            <color indexed="81"/>
            <rFont val="Tahoma"/>
            <family val="2"/>
          </rPr>
          <t xml:space="preserve">wie EK-Zins Gebäude Kaltmiete Reiter B_1, wird per Formel übernommen.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A21" authorId="0" shapeId="0" xr:uid="{00000000-0006-0000-0800-000001000000}">
      <text>
        <r>
          <rPr>
            <sz val="9"/>
            <color indexed="81"/>
            <rFont val="Tahoma"/>
            <family val="2"/>
          </rPr>
          <t xml:space="preserve">Diesen Wert muss die Kommune zur Verfügung stellen.
</t>
        </r>
      </text>
    </comment>
  </commentList>
</comments>
</file>

<file path=xl/sharedStrings.xml><?xml version="1.0" encoding="utf-8"?>
<sst xmlns="http://schemas.openxmlformats.org/spreadsheetml/2006/main" count="683" uniqueCount="352">
  <si>
    <t>Raum Nr.</t>
  </si>
  <si>
    <t>Raumbezeichnung</t>
  </si>
  <si>
    <t>Summe Gesamtgebäude</t>
  </si>
  <si>
    <t xml:space="preserve">   davon Fachleistungsflächen</t>
  </si>
  <si>
    <t>Aufteilung:</t>
  </si>
  <si>
    <t>Fachleistung</t>
  </si>
  <si>
    <t>Kontrolle</t>
  </si>
  <si>
    <t>Gesamt-Schlüssel:</t>
  </si>
  <si>
    <t>Fachleistungsfläche</t>
  </si>
  <si>
    <t>Miete/Pacht/Leasing</t>
  </si>
  <si>
    <t>Summe</t>
  </si>
  <si>
    <t>Zusammenfassung</t>
  </si>
  <si>
    <t>AFA Gebäude und Zubehör</t>
  </si>
  <si>
    <t>AFA Ausstattung</t>
  </si>
  <si>
    <t>Instandhaltung</t>
  </si>
  <si>
    <t>Finanzierungskosten</t>
  </si>
  <si>
    <t>Öffnungstage</t>
  </si>
  <si>
    <t>Plätze</t>
  </si>
  <si>
    <t>Auslastung</t>
  </si>
  <si>
    <t>Divisor</t>
  </si>
  <si>
    <t>umlegbare 
Nebenkosten</t>
  </si>
  <si>
    <t>Anteil
Fachleistung</t>
  </si>
  <si>
    <t>Anteil 
Pers. Wohnraum</t>
  </si>
  <si>
    <t>Gesamt</t>
  </si>
  <si>
    <t>Schritt A: Flächenschlüssel</t>
  </si>
  <si>
    <t>Schritt D: Ausstattungskosten</t>
  </si>
  <si>
    <t>Abschreibung</t>
  </si>
  <si>
    <t>Zinsen</t>
  </si>
  <si>
    <t>Miete/Leasing</t>
  </si>
  <si>
    <t>Übernahme durch Sozialhilfe: max. weitere</t>
  </si>
  <si>
    <t>Müllabfuhr</t>
  </si>
  <si>
    <t>Ungezieferbekämpfung</t>
  </si>
  <si>
    <t>Gartenpflege</t>
  </si>
  <si>
    <t>Beleuchtung (Außen-, Flurbeleuchtung)</t>
  </si>
  <si>
    <t>Schornsteinfegergebühren</t>
  </si>
  <si>
    <t>Sach- und Haftpflichtversicherungen</t>
  </si>
  <si>
    <t>Hausmeisterkosten</t>
  </si>
  <si>
    <t>Kosten für die Gemeinschaftsantenne</t>
  </si>
  <si>
    <t>Kosten für Breitbandkabelanschluss</t>
  </si>
  <si>
    <t>Kosten für Trinkwasseruntersuchung</t>
  </si>
  <si>
    <t>persönliche 
Wohnfläche</t>
  </si>
  <si>
    <t>diese Felder sind auszufüllen</t>
  </si>
  <si>
    <t>Kontrolle: Verbleibende zu refinanzierende Kosten pro Monat und Bewohner (muss null ergeben)</t>
  </si>
  <si>
    <t>Kontrolle Gesamtsumme</t>
  </si>
  <si>
    <t>Grundsteuer</t>
  </si>
  <si>
    <t xml:space="preserve">Wasser-/Abwasser, Warmwasser </t>
  </si>
  <si>
    <t>Betrieb und Wartung der Wasserversorgungsanlagen</t>
  </si>
  <si>
    <t>Betrieb / Wartung der Wärmeversorgungsanlagen</t>
  </si>
  <si>
    <t>Betrieb / Wartung Aufzuganlagen</t>
  </si>
  <si>
    <t>Straßenreinigung</t>
  </si>
  <si>
    <t>Wärme</t>
  </si>
  <si>
    <t>Sonstige Betriebskosten, 
z.B. Hygiene- und Legionellenprüfung</t>
  </si>
  <si>
    <t>Summe Sozialhilfe</t>
  </si>
  <si>
    <t>Summe Flächen außerhalb Heimbereich</t>
  </si>
  <si>
    <t xml:space="preserve">   davon freie Flächen außerhalb Heim</t>
  </si>
  <si>
    <t>freie Flächen</t>
  </si>
  <si>
    <t>Schlüssel innerhalb Heimbereich</t>
  </si>
  <si>
    <t>pro Tag</t>
  </si>
  <si>
    <t>Anschaffungskosten nach Kostengruppen</t>
  </si>
  <si>
    <t>Kostengruppe 100</t>
  </si>
  <si>
    <t>Grundstück</t>
  </si>
  <si>
    <t>Kostengruppe 300</t>
  </si>
  <si>
    <t>Bauwerk - Baukonstruktion</t>
  </si>
  <si>
    <t>Kostengruppe 400</t>
  </si>
  <si>
    <t>Bauwerk - Technische Anlagen</t>
  </si>
  <si>
    <t>Kostengruppe 500</t>
  </si>
  <si>
    <t>Außenanlagen</t>
  </si>
  <si>
    <t>Kostengruppe 600</t>
  </si>
  <si>
    <t>Ausstattung</t>
  </si>
  <si>
    <t>Summe Anschaffungskosten</t>
  </si>
  <si>
    <t>Zuschuss aufgeteilt auf Kostengruppen</t>
  </si>
  <si>
    <t>Zuschüsse</t>
  </si>
  <si>
    <t>Abschreibungen unter Berücksichtigung der Zuschüsse</t>
  </si>
  <si>
    <t>Summe:</t>
  </si>
  <si>
    <t>Summe ohne Ausstattung</t>
  </si>
  <si>
    <t>Ermittlung der durchschnittlichen Afa (ohne Ausstattung und Zuschuss)</t>
  </si>
  <si>
    <t>Kosten ohne Ausstattung und Grdstk.</t>
  </si>
  <si>
    <t>Durchschnittliche Abschreibung Gebäude:</t>
  </si>
  <si>
    <t>x</t>
  </si>
  <si>
    <t>Instandhaltungen</t>
  </si>
  <si>
    <t>Gebäude + Inventar AHK</t>
  </si>
  <si>
    <t>Prozentsatz</t>
  </si>
  <si>
    <t>Summe Instandhaltung</t>
  </si>
  <si>
    <t>Position 1</t>
  </si>
  <si>
    <t>Position 2</t>
  </si>
  <si>
    <t>Position 3</t>
  </si>
  <si>
    <t>Miete/Pacht/Erbbau für Gebäude oder Grundstück</t>
  </si>
  <si>
    <t>Summe Miete/Pacht</t>
  </si>
  <si>
    <t>Finanzierung</t>
  </si>
  <si>
    <t>Fremdmittel</t>
  </si>
  <si>
    <t>FK-Zinskosten</t>
  </si>
  <si>
    <t>Eigenmittel</t>
  </si>
  <si>
    <t>EK-Zinskosten</t>
  </si>
  <si>
    <t>Summe Finanzierung</t>
  </si>
  <si>
    <t>EM-Ersatz (z.B. Aktion Mensch)</t>
  </si>
  <si>
    <t>Kapitalmarktdarlehen 1</t>
  </si>
  <si>
    <t>Kapitalmarktdarlehen 2</t>
  </si>
  <si>
    <t>Position 4</t>
  </si>
  <si>
    <t>pro Monat</t>
  </si>
  <si>
    <t>pro Jahr</t>
  </si>
  <si>
    <t xml:space="preserve">Mietberechnung nach BTHG </t>
  </si>
  <si>
    <t>Art der Nebenkosten</t>
  </si>
  <si>
    <t>Flächenschlüssel</t>
  </si>
  <si>
    <t>Flächen des Persönlichen Wohnraums inkl. Gemeinschaftsflächen:</t>
  </si>
  <si>
    <t>Fachleistungsflächen</t>
  </si>
  <si>
    <t>Außerhalb des Heimbereichs genutzte Flächen</t>
  </si>
  <si>
    <t>Summe Flächen persönlicher Wohnraum</t>
  </si>
  <si>
    <t>Ebene/ 
Geschoss</t>
  </si>
  <si>
    <t>Anteil Pers. Wohnraum</t>
  </si>
  <si>
    <t xml:space="preserve">Fläche m²                       </t>
  </si>
  <si>
    <t>Summe Fachleistungsflächen</t>
  </si>
  <si>
    <t>Summe Gebäude</t>
  </si>
  <si>
    <t>Summe direkt zuordenbare Flächen</t>
  </si>
  <si>
    <t>Flächen Zusammenfassung und Schlüsselberechnung</t>
  </si>
  <si>
    <t>Anteil</t>
  </si>
  <si>
    <t>Anteil
freie Flächen</t>
  </si>
  <si>
    <t>Anteilsberechnung mit Aufteilung der KG 700 auf KG 300-500</t>
  </si>
  <si>
    <t>Summe Anschaffungswerte</t>
  </si>
  <si>
    <t>Summe p.a.</t>
  </si>
  <si>
    <t>2. Zusätzlich zu vergütende Leistungen:</t>
  </si>
  <si>
    <t>p.a.         p.M.:</t>
  </si>
  <si>
    <t>Kaltmiete gesamt pro Monat und Bewohner</t>
  </si>
  <si>
    <t>Nebenkosten</t>
  </si>
  <si>
    <t>Summe Anschaffungskosten Gebäude (ohne Grdst.)</t>
  </si>
  <si>
    <t>Summe Basismiete</t>
  </si>
  <si>
    <t>Summe Sonderaufschlag persönlicher Wohnraum</t>
  </si>
  <si>
    <t>Verbleibende zu refinanzierende Kosten pro Monat u. Bewohner</t>
  </si>
  <si>
    <t>Summe Assistenz-/Teilhabe-Aufschlag persönl. Wohnraum</t>
  </si>
  <si>
    <t xml:space="preserve">Summe Investitionsbetrag für Fachleistungen
</t>
  </si>
  <si>
    <t>Schritt E: Mietberechnung und Refinanzierung</t>
  </si>
  <si>
    <t>Zuschläge pro Bewohner und Monat</t>
  </si>
  <si>
    <t>KG 400
Techn. Anlagen</t>
  </si>
  <si>
    <t>KG 500
Außenanlagen</t>
  </si>
  <si>
    <t>Summe
gesamt</t>
  </si>
  <si>
    <t>Schwimmbad</t>
  </si>
  <si>
    <t>Turnhalle</t>
  </si>
  <si>
    <t>Sportplätze</t>
  </si>
  <si>
    <t>Summe fachliche Infrastruktur</t>
  </si>
  <si>
    <t>üblicherweise öffentliche Infrastruktur / Erschließung:</t>
  </si>
  <si>
    <t>Summe öffentliche Infrastruktur / Erschließung:</t>
  </si>
  <si>
    <t>fachliche Infrastruktur</t>
  </si>
  <si>
    <t>etc.</t>
  </si>
  <si>
    <t>Straßen und Gehwege</t>
  </si>
  <si>
    <t>Wasser und Abwasser Netz</t>
  </si>
  <si>
    <t>Parkplätze</t>
  </si>
  <si>
    <t>Straßenbeleuchtung und -Beschilderung</t>
  </si>
  <si>
    <t>Feuerwehr</t>
  </si>
  <si>
    <t>KG 600
Ausstattung</t>
  </si>
  <si>
    <t>Grünanlagen und Spielplätze</t>
  </si>
  <si>
    <t>Daten- und Telefonnetze</t>
  </si>
  <si>
    <t>KG 100 
Grundstück</t>
  </si>
  <si>
    <t>KG 300 
Gebäude</t>
  </si>
  <si>
    <t>Summe gesamt</t>
  </si>
  <si>
    <t>Schritt B_1: Gebäude Kaltmiete</t>
  </si>
  <si>
    <t>Bewohner gesamt</t>
  </si>
  <si>
    <t>Schritt C_1: Nebenkosten</t>
  </si>
  <si>
    <t>Strom</t>
  </si>
  <si>
    <t>Summe Eingliederungshilfe gesamt</t>
  </si>
  <si>
    <r>
      <t>Zuordnung</t>
    </r>
    <r>
      <rPr>
        <sz val="11"/>
        <color theme="1"/>
        <rFont val="Calibri"/>
        <family val="2"/>
        <scheme val="minor"/>
      </rPr>
      <t xml:space="preserve"> zu Kostengruppen:</t>
    </r>
  </si>
  <si>
    <t>Einrichtung / Standort:</t>
  </si>
  <si>
    <t>Anzahl Plätze</t>
  </si>
  <si>
    <t>aktueller Kostensatz</t>
  </si>
  <si>
    <t>Aufteilungsschlüssel</t>
  </si>
  <si>
    <t>Kapitalmarktdarlehen 3</t>
  </si>
  <si>
    <t>Inflationsrate des 
stat. Bundesamts</t>
  </si>
  <si>
    <t>Zuschuss zu Ausstattung</t>
  </si>
  <si>
    <t>Aufteilung nach Flächenschlüssel</t>
  </si>
  <si>
    <t>Wartung und Aufschaltung Brandmeldeanlagen</t>
  </si>
  <si>
    <t>Basis für Verzinsung:</t>
  </si>
  <si>
    <t>Zinssatz</t>
  </si>
  <si>
    <t>davon Eigenmittel</t>
  </si>
  <si>
    <t>davon Fremdmittel</t>
  </si>
  <si>
    <t>Anschaffungs- und Herstellkosten in €</t>
  </si>
  <si>
    <t>jährlicher Aufwand  €</t>
  </si>
  <si>
    <t>gemietete Ausstattungen (z.B. Telefon, KFZ, Kopierer, EDV, Software,...)</t>
  </si>
  <si>
    <t>Betrag €</t>
  </si>
  <si>
    <t>nachrichtlich: pro Person und</t>
  </si>
  <si>
    <t>Monat</t>
  </si>
  <si>
    <t>Anschaffungs
-kosten in €</t>
  </si>
  <si>
    <t>Geringw. Wirtsch.g (GWG)</t>
  </si>
  <si>
    <t>Divisor (Platzzahl * 12 Monate * Auslastung)</t>
  </si>
  <si>
    <t xml:space="preserve">Summe Mischflächen Heimbereich </t>
  </si>
  <si>
    <t xml:space="preserve">(Anteil der persönlichen Wohnfläche inkl. Gemeinschaftsflächen ohne auf anteilige Mischflächen wie Treppenhäuser </t>
  </si>
  <si>
    <t>oder Haustechnik entfallenden Kosten):</t>
  </si>
  <si>
    <t>Anteil an 
Gesamt-Flächen</t>
  </si>
  <si>
    <t>Anteil an 
persönl. Wohnraum</t>
  </si>
  <si>
    <t>persönliche Wohnfläche inkl. Gemeinschaftsflächen</t>
  </si>
  <si>
    <t>anteilige Allgemeinflächen</t>
  </si>
  <si>
    <t>anteilige Allgemeinfläche</t>
  </si>
  <si>
    <t>Anteil Fachleistung</t>
  </si>
  <si>
    <r>
      <t>Schlüssel zur Ermittlung des</t>
    </r>
    <r>
      <rPr>
        <b/>
        <i/>
        <sz val="11"/>
        <rFont val="Calibri"/>
        <family val="2"/>
        <scheme val="minor"/>
      </rPr>
      <t xml:space="preserve"> Haushaltsstroms </t>
    </r>
    <r>
      <rPr>
        <i/>
        <sz val="11"/>
        <rFont val="Calibri"/>
        <family val="2"/>
        <scheme val="minor"/>
      </rPr>
      <t>sowie der</t>
    </r>
    <r>
      <rPr>
        <b/>
        <i/>
        <sz val="11"/>
        <rFont val="Calibri"/>
        <family val="2"/>
        <scheme val="minor"/>
      </rPr>
      <t xml:space="preserve"> Instandhaltung von persönlichen Räumlichkeiten und den </t>
    </r>
  </si>
  <si>
    <t>Telekommunikation, Rundfunk, Fernsehen, Internet</t>
  </si>
  <si>
    <t>Gesamte Kosten der Unterkunft und Heizung</t>
  </si>
  <si>
    <t>Ergebnis-Übersicht</t>
  </si>
  <si>
    <t>Miete persönliche 
Wohnfläche</t>
  </si>
  <si>
    <t>Investitionsbetrag Fachleistungen</t>
  </si>
  <si>
    <t>Flächen in m² pro Platz</t>
  </si>
  <si>
    <t>ohne Mischflächen</t>
  </si>
  <si>
    <t>mit anteiligen Mischflächen</t>
  </si>
  <si>
    <t>Gebäude-Kaltmiete</t>
  </si>
  <si>
    <t>Gesamt-Summe</t>
  </si>
  <si>
    <t>monatliche 
Warmmiete Mieter</t>
  </si>
  <si>
    <t>Anteil Grundsicherungsmiete</t>
  </si>
  <si>
    <t>(max 125% eines Ein-Personenhaushalts)</t>
  </si>
  <si>
    <t>Anteil Miete Eingliederungshilfe</t>
  </si>
  <si>
    <t>Anteil Investitionsbetrag</t>
  </si>
  <si>
    <t>Fachleistungsräume</t>
  </si>
  <si>
    <t>Summe Anteil</t>
  </si>
  <si>
    <t>Eingliederungshilfe</t>
  </si>
  <si>
    <t>gem. §42a Absatz 5 Satz 4 Nr.1-4 SGB XII (im Mietvertrag transparent auszuweisen):</t>
  </si>
  <si>
    <t>Zuschläge für Möblierung und Ausstattung mit Haushaltsgroßgeräten</t>
  </si>
  <si>
    <t>Zuschläge für Haushaltsstrom</t>
  </si>
  <si>
    <t xml:space="preserve">Zuschläge für Telekommunikation sowie Zugang zu Rundfunk, Fernsehen, Internet </t>
  </si>
  <si>
    <t>zentrale Infrastruktur:</t>
  </si>
  <si>
    <t>Aufteilungsschlüssel zentrale Dienste</t>
  </si>
  <si>
    <t>davon entfallen auf</t>
  </si>
  <si>
    <t>(nach Flächenschlüssel im Verhältnis der direkt zuordenbaren Flächen persönlicher Wohnraum, Fachleistungs-
flächen und Flächen außerhalb Heimbereich)</t>
  </si>
  <si>
    <t>Summe Mischflächen Gesamtgebäude</t>
  </si>
  <si>
    <t>(nach Flächenschlüssel im Verhältnis der direkt zuordenbaren Flächen persönlicher Wohnraum, Fachleistungs-
flächen)</t>
  </si>
  <si>
    <t>Schlüssel im</t>
  </si>
  <si>
    <t>Heimbereich</t>
  </si>
  <si>
    <t>Aufteilung Mischflächen Gesamt-Gebäude</t>
  </si>
  <si>
    <t>Aufteilung Mischflächen Innerhalb Heimbereich</t>
  </si>
  <si>
    <r>
      <t xml:space="preserve">Mischflächen </t>
    </r>
    <r>
      <rPr>
        <b/>
        <u/>
        <sz val="12"/>
        <rFont val="Calibri"/>
        <family val="2"/>
        <scheme val="minor"/>
      </rPr>
      <t>Gesamt-</t>
    </r>
    <r>
      <rPr>
        <b/>
        <sz val="12"/>
        <rFont val="Calibri"/>
        <family val="2"/>
        <scheme val="minor"/>
      </rPr>
      <t xml:space="preserve">Gebäude
</t>
    </r>
    <r>
      <rPr>
        <b/>
        <i/>
        <sz val="12"/>
        <rFont val="Calibri"/>
        <family val="2"/>
        <scheme val="minor"/>
      </rPr>
      <t>(Nutzung durch Gesamtgebäude 
= durch Nutzer</t>
    </r>
    <r>
      <rPr>
        <b/>
        <i/>
        <u/>
        <sz val="12"/>
        <rFont val="Calibri"/>
        <family val="2"/>
        <scheme val="minor"/>
      </rPr>
      <t xml:space="preserve">innerhalb und außerhalb </t>
    </r>
    <r>
      <rPr>
        <b/>
        <i/>
        <sz val="12"/>
        <rFont val="Calibri"/>
        <family val="2"/>
        <scheme val="minor"/>
      </rPr>
      <t>des Heimbereichs)</t>
    </r>
  </si>
  <si>
    <r>
      <t xml:space="preserve">Mischflächen </t>
    </r>
    <r>
      <rPr>
        <b/>
        <u/>
        <sz val="12"/>
        <rFont val="Calibri"/>
        <family val="2"/>
        <scheme val="minor"/>
      </rPr>
      <t>innerhalb Heimbereich</t>
    </r>
    <r>
      <rPr>
        <b/>
        <sz val="12"/>
        <rFont val="Calibri"/>
        <family val="2"/>
        <scheme val="minor"/>
      </rPr>
      <t xml:space="preserve">
</t>
    </r>
    <r>
      <rPr>
        <b/>
        <i/>
        <sz val="12"/>
        <rFont val="Calibri"/>
        <family val="2"/>
        <scheme val="minor"/>
      </rPr>
      <t>(Nutzung innerhalb Heimbereich, jedoch sowohl Nutzung für persönl. Wohnraum als auch für Fachleistungsflächen)</t>
    </r>
  </si>
  <si>
    <t>somit anteilige Kosten des Wohnangebots pro Jahr</t>
  </si>
  <si>
    <t>m² pro Bew.</t>
  </si>
  <si>
    <t>pro Bewohner und Tag:</t>
  </si>
  <si>
    <t>pro Bewohner und Jahr</t>
  </si>
  <si>
    <t>pro Bewohner und Monat</t>
  </si>
  <si>
    <t>Summe pro Bewohner und Monat</t>
  </si>
  <si>
    <t>1. Ermittlung der Gesamtkosten pro Bewohner und Monat</t>
  </si>
  <si>
    <t>Es entfallen auf</t>
  </si>
  <si>
    <t>(anteilige Berechnung Wohnangebot erfolgt unten)</t>
  </si>
  <si>
    <t>GESAMTE Miete/Pacht/Leasing zentrale Infrastruktur</t>
  </si>
  <si>
    <t>GESAMT-Finanzierung zentraler Infrastruktur</t>
  </si>
  <si>
    <t>GESAMTE Infrastruktur-Kosten AHK</t>
  </si>
  <si>
    <t>Anteilige Berechnung für das konkrete Wohnangebot 
erfolgt unten automatisiert</t>
  </si>
  <si>
    <t>Schritt B_2: Investitionskosten Sonder-Infrastruktur</t>
  </si>
  <si>
    <t>Schritt C_2: Nebenkosten Sonder-Infrastruktur</t>
  </si>
  <si>
    <t>Summe Aufschlag Sonder-Infrastruktur</t>
  </si>
  <si>
    <t>Summe Aufschlag Sonder-Infrastrastruktur</t>
  </si>
  <si>
    <t>Gesamtzahl der Nutzer des Sonder-Infrastruktur</t>
  </si>
  <si>
    <t>Summe Gebäude Kaltmiete</t>
  </si>
  <si>
    <t>p.M.:</t>
  </si>
  <si>
    <t>Aufschlag zentr. Verwaltungsfl.</t>
  </si>
  <si>
    <t>Sonder-Infrastruktur</t>
  </si>
  <si>
    <t>Nebenkosten Sonder-Infrastruktur</t>
  </si>
  <si>
    <t>Möglichkeit zur Bildung von Zimmer-Kategorien</t>
  </si>
  <si>
    <t>Kategorie 1</t>
  </si>
  <si>
    <t>Kategorie 2</t>
  </si>
  <si>
    <t>Durchschnittliche Kalt-Miete pro Monat der persönlichen Wohnfläche</t>
  </si>
  <si>
    <t>Platzzahl</t>
  </si>
  <si>
    <t>Monatliche Gesamt-Kaltmiete der persönlichen Wohnflächen</t>
  </si>
  <si>
    <t>Budgetneutrale Aufteilung auf Kategorien</t>
  </si>
  <si>
    <t>Kontrolle Platzzahl</t>
  </si>
  <si>
    <t>Kontrolle Kaltmiete gesamt</t>
  </si>
  <si>
    <t>(Teilhabe-Aufschlag KdU &gt; 125%)</t>
  </si>
  <si>
    <t>&lt;= Bitte tragen Sie hier ein "x" ein, wenn Sie 3 Zimmerkategorien bilden wollen!</t>
  </si>
  <si>
    <t>Bildung von 3 Zimmerkategorien</t>
  </si>
  <si>
    <t>Bildung von 2 Zimmerkategorien</t>
  </si>
  <si>
    <t>&lt;= Bitte tragen Sie hier ein "x" ein, wenn Sie 2 Zimmerkategorien bilden wollen!</t>
  </si>
  <si>
    <t>monatlicher Investitionsbetrag
Fachleistung</t>
  </si>
  <si>
    <t>Kontrolle Warmmiete Gesamt</t>
  </si>
  <si>
    <t>monatl. Kaltmiete</t>
  </si>
  <si>
    <t>Aufschlag zentr. Verwaltungsflächen</t>
  </si>
  <si>
    <t>durchschnittlliche Kaltmiete</t>
  </si>
  <si>
    <t>Da Wohnflächen und Standards einzelner Zimmerangebote unterschiedlich sein können, können Leistungserbringer ggfs. geeignete Zimmerkategorien nach objektiven Maßstäben bilden (bspw. bei gravierenden Unterschieden von Wohnflächen oder Ausstattungs-Standards). Dabei werden die durchschnittlich ermittelten Kosten für Wohnraumüberlassung in unterschiedliche Kategorien umgerechnet. Die Kategorisierung ist in den WBVG-Verträgen und vorvertraglichen Informationen nachvollziehbar darzustellen. Es wird empfohlen nicht mehr als 3 Kategorien zu bilden.  Für die Bildung von 2 oder 3 Kategorien sind hier Berechnungsformeln hinterlegt.</t>
  </si>
  <si>
    <t>Kalkulationsgrundlage</t>
  </si>
  <si>
    <t>Jahr der Inbetriebnahme (JJJJ)</t>
  </si>
  <si>
    <t>Rechnung mit altem IK-Satz, da Anschaffungs- und Herstellkosten nicht mehr ermittelbar.</t>
  </si>
  <si>
    <t>Bitte tragen Sie ein "x" in Feld D6 ein =&gt;</t>
  </si>
  <si>
    <t>Bitte tragen Sie ein "x" in Feld D8 ein =&gt;</t>
  </si>
  <si>
    <t xml:space="preserve">Nachrichtlich zur transparenten Darstellung im Mietvertrag gem §42a Absatz 5 Satz 4 SGB XII: </t>
  </si>
  <si>
    <t>Nebenkosten (ggfs. Schätzung)</t>
  </si>
  <si>
    <t>Diese Ergebnis-Übersicht stellt alle vertraglich notwendigen Daten für den Fall dar, dass alle Leistungsberechtigten dieselbe Warmmiete bezahlen. Sofern Sie unterschiedliche Mietpreise für verschiedene Zimmer-Kategorien bilden wollen, füllen Sie bitte zusätzlich den Reiter "Zimmer-Kategorien" aus. Die Ergebnisse werden dann dort für die verschiedenen Kategorien dargestellt.</t>
  </si>
  <si>
    <t>Zusammenfassung Sonder-Infrastruktur</t>
  </si>
  <si>
    <t>Nebenkosten Sonder-Infrastruktur 
GESAMT</t>
  </si>
  <si>
    <t>Gewichtung mit Aufteilungsschlüssel Sonder-Infrastr.</t>
  </si>
  <si>
    <t>Bitte tragen Sie ein "x" in Feld D12 ein =&gt;</t>
  </si>
  <si>
    <t>Bitte tragen Sie ein "x" in Feld D14 ein =&gt;</t>
  </si>
  <si>
    <r>
      <t xml:space="preserve">Standardfall: Kosten liegen getrennt für Heimbereich vor. Bitte unten nur Gebäudekosten des </t>
    </r>
    <r>
      <rPr>
        <b/>
        <u/>
        <sz val="11"/>
        <rFont val="Calibri"/>
        <family val="2"/>
        <scheme val="minor"/>
      </rPr>
      <t>Heimbereichs</t>
    </r>
    <r>
      <rPr>
        <b/>
        <sz val="11"/>
        <rFont val="Calibri"/>
        <family val="2"/>
        <scheme val="minor"/>
      </rPr>
      <t xml:space="preserve"> erfassen!</t>
    </r>
  </si>
  <si>
    <r>
      <t xml:space="preserve">Sonderfall: Kosten liegen </t>
    </r>
    <r>
      <rPr>
        <b/>
        <u/>
        <sz val="11"/>
        <rFont val="Calibri"/>
        <family val="2"/>
        <scheme val="minor"/>
      </rPr>
      <t>nur für Gesamtgebäude inkl. freier Flächen</t>
    </r>
    <r>
      <rPr>
        <b/>
        <sz val="11"/>
        <rFont val="Calibri"/>
        <family val="2"/>
        <scheme val="minor"/>
      </rPr>
      <t xml:space="preserve"> vor. Bitte unten Kosten des </t>
    </r>
    <r>
      <rPr>
        <b/>
        <u/>
        <sz val="11"/>
        <rFont val="Calibri"/>
        <family val="2"/>
        <scheme val="minor"/>
      </rPr>
      <t>Gesamt</t>
    </r>
    <r>
      <rPr>
        <b/>
        <sz val="11"/>
        <rFont val="Calibri"/>
        <family val="2"/>
        <scheme val="minor"/>
      </rPr>
      <t>gebäudes erfassen!</t>
    </r>
  </si>
  <si>
    <r>
      <t xml:space="preserve">Standardfall: Kosten liegen getrennt für Heimbereich vor. Bitte unten nur Nebenkosten des </t>
    </r>
    <r>
      <rPr>
        <b/>
        <u/>
        <sz val="11"/>
        <rFont val="Calibri"/>
        <family val="2"/>
        <scheme val="minor"/>
      </rPr>
      <t>Heimbereichs</t>
    </r>
    <r>
      <rPr>
        <b/>
        <sz val="11"/>
        <rFont val="Calibri"/>
        <family val="2"/>
        <scheme val="minor"/>
      </rPr>
      <t xml:space="preserve"> erfassen!</t>
    </r>
  </si>
  <si>
    <r>
      <t xml:space="preserve">Sonderfall: Nebenkosten liegen nur für Gesamt-Gebäude inkl. freier Flächen vor. Bitte unten Nebenkosten des </t>
    </r>
    <r>
      <rPr>
        <b/>
        <u/>
        <sz val="11"/>
        <rFont val="Calibri"/>
        <family val="2"/>
        <scheme val="minor"/>
      </rPr>
      <t>Gesamt</t>
    </r>
    <r>
      <rPr>
        <b/>
        <sz val="11"/>
        <rFont val="Calibri"/>
        <family val="2"/>
        <scheme val="minor"/>
      </rPr>
      <t>gebäudes erfassen!</t>
    </r>
  </si>
  <si>
    <r>
      <rPr>
        <b/>
        <sz val="16"/>
        <color theme="1"/>
        <rFont val="Calibri"/>
        <family val="2"/>
        <scheme val="minor"/>
      </rPr>
      <t>Ausstattung des Heimbereichs</t>
    </r>
    <r>
      <rPr>
        <b/>
        <sz val="11"/>
        <color theme="1"/>
        <rFont val="Calibri"/>
        <family val="2"/>
        <scheme val="minor"/>
      </rPr>
      <t xml:space="preserve">
Anlagenbezeichnung</t>
    </r>
  </si>
  <si>
    <t>Stammdaten</t>
  </si>
  <si>
    <t>Die Aufteilung der Flächen in persönlichen Wohnraum und Fachleistungsflächen ist anhand der tatsächlichen Flächen vorzunehmen.</t>
  </si>
  <si>
    <t>Kontrolle:</t>
  </si>
  <si>
    <r>
      <t xml:space="preserve">Aufteilung der Nebenkosten:
</t>
    </r>
    <r>
      <rPr>
        <sz val="11"/>
        <rFont val="Calibri"/>
        <family val="2"/>
        <scheme val="minor"/>
      </rPr>
      <t xml:space="preserve">Sofern die Nebenkosten bereits getrennt für den Heimbereich vorliegen, werden die Kosten anhand des Flächenschlüssels "persönliche Wohnfläche : Fachleistungsflächen" verteilt (Standardfall, Schlüssel aus Reiter A Flächen Feld E174 und E 175). 
Nur sofern die Nebenkosten lediglich für das Gesamtgebäude </t>
    </r>
    <r>
      <rPr>
        <u/>
        <sz val="11"/>
        <rFont val="Calibri"/>
        <family val="2"/>
        <scheme val="minor"/>
      </rPr>
      <t>inkl. freier Flächen</t>
    </r>
    <r>
      <rPr>
        <sz val="11"/>
        <rFont val="Calibri"/>
        <family val="2"/>
        <scheme val="minor"/>
      </rPr>
      <t xml:space="preserve"> (freie Wohnungen u.ä.) vorliegen, müssen die Nebenkosten anhand des Flächenschlüssels aufgeteilt werden, der auch die freien Flächen berücksichtigt (Sonderfall, Schlüssel aus Reiter A Flächen, Felder E169 und E170)</t>
    </r>
    <r>
      <rPr>
        <b/>
        <sz val="11"/>
        <rFont val="Calibri"/>
        <family val="2"/>
        <scheme val="minor"/>
      </rPr>
      <t xml:space="preserve">
Bitte treffen Sie fogende Auswahl:</t>
    </r>
  </si>
  <si>
    <t>Aufwand p.a.  €</t>
  </si>
  <si>
    <t>Zimmer in Wohngruppe</t>
  </si>
  <si>
    <t>Wohngruppe "Würzburger Modell"</t>
  </si>
  <si>
    <t>Einzel-Appartements</t>
  </si>
  <si>
    <t>Nebenkosten-Anteil Sonder-Infrastruktur</t>
  </si>
  <si>
    <r>
      <rPr>
        <b/>
        <sz val="14"/>
        <color theme="0"/>
        <rFont val="Calibri"/>
        <family val="2"/>
        <scheme val="minor"/>
      </rPr>
      <t>Basismiete für die privaten Wohnflächen</t>
    </r>
    <r>
      <rPr>
        <b/>
        <sz val="11"/>
        <color theme="0"/>
        <rFont val="Calibri"/>
        <family val="2"/>
        <scheme val="minor"/>
      </rPr>
      <t xml:space="preserve">
Übernahme bis zur Höhe der angemessenen Warmmiete eines Ein-Personen-Haushalts 
im Rahmen der Grundsicherung je nach Kommune:</t>
    </r>
    <r>
      <rPr>
        <b/>
        <sz val="11"/>
        <color theme="1"/>
        <rFont val="Calibri"/>
        <family val="2"/>
        <scheme val="minor"/>
      </rPr>
      <t xml:space="preserve">
</t>
    </r>
  </si>
  <si>
    <r>
      <rPr>
        <b/>
        <sz val="14"/>
        <color theme="0"/>
        <rFont val="Calibri"/>
        <family val="2"/>
        <scheme val="minor"/>
      </rPr>
      <t>Miet-Sonderaufschlag für die privaten Wohnflächen</t>
    </r>
    <r>
      <rPr>
        <sz val="11"/>
        <color theme="0"/>
        <rFont val="Calibri"/>
        <family val="2"/>
        <scheme val="minor"/>
      </rPr>
      <t xml:space="preserve">
Übernahme eines Aufschlag von bis zu 25 % bei Vermietung von gemeinschaftlichen Wohnformen „außerhalb von Wohnungen  
</t>
    </r>
    <r>
      <rPr>
        <sz val="8"/>
        <color theme="0"/>
        <rFont val="Calibri"/>
        <family val="2"/>
        <scheme val="minor"/>
      </rPr>
      <t>(ehem. Wohngruppe bzw. entspricht stationärem Setting)</t>
    </r>
    <r>
      <rPr>
        <sz val="11"/>
        <color theme="0"/>
        <rFont val="Calibri"/>
        <family val="2"/>
        <scheme val="minor"/>
      </rPr>
      <t xml:space="preserve">
</t>
    </r>
  </si>
  <si>
    <r>
      <rPr>
        <b/>
        <sz val="14"/>
        <color theme="0"/>
        <rFont val="Calibri"/>
        <family val="2"/>
        <scheme val="minor"/>
      </rPr>
      <t>Teilhabeaufschlag für die privaten Wohnflächen</t>
    </r>
    <r>
      <rPr>
        <sz val="11"/>
        <color theme="0"/>
        <rFont val="Calibri"/>
        <family val="2"/>
        <scheme val="minor"/>
      </rPr>
      <t xml:space="preserve">
Übernahme der oberhalb der 125 %-Grenze liegenden Aufwendungen für private Wohnflächen durch die Eingliederungshilfe 
(§ 42a Abs.6 SGB XII)
</t>
    </r>
  </si>
  <si>
    <r>
      <rPr>
        <b/>
        <sz val="14"/>
        <color theme="0"/>
        <rFont val="Calibri"/>
        <family val="2"/>
        <scheme val="minor"/>
      </rPr>
      <t xml:space="preserve">Investitionsbetrag für die Fachleistungsflächen  </t>
    </r>
    <r>
      <rPr>
        <sz val="11"/>
        <color theme="0"/>
        <rFont val="Calibri"/>
        <family val="2"/>
        <scheme val="minor"/>
      </rPr>
      <t xml:space="preserve">
für die zur Erbringung der Fachleistungen „erforderlichen betriebsnotwendigen Anlagen“</t>
    </r>
  </si>
  <si>
    <t>In den Wohn- und Wohnnebenkosten enthaltene zusätzliche Kosten</t>
  </si>
  <si>
    <t>weitere zusätzl. Wohn- und Wohnnebenkosten gem. §42a Absatz 5 Satz 4 Nr.2 SGB XII</t>
  </si>
  <si>
    <t>Zuschläge für Instandhaltung von persönlichen Räumlichkeiten und den Räumlichkeiten zur gemeinschaftlichen Nutzung</t>
  </si>
  <si>
    <t>Summe zusätzl. Kosten persönl. Wohnfläche</t>
  </si>
  <si>
    <t xml:space="preserve">Mietausfallwagnis </t>
  </si>
  <si>
    <r>
      <rPr>
        <b/>
        <sz val="16"/>
        <color theme="1"/>
        <rFont val="Calibri"/>
        <family val="2"/>
        <scheme val="minor"/>
      </rPr>
      <t>Ausstattung des Heimbereichs</t>
    </r>
    <r>
      <rPr>
        <b/>
        <sz val="11"/>
        <color theme="1"/>
        <rFont val="Calibri"/>
        <family val="2"/>
        <scheme val="minor"/>
      </rPr>
      <t xml:space="preserve">
</t>
    </r>
  </si>
  <si>
    <t>Regelfall: Ansatz von Kosten in Höhe von 6.000 € je Platz:</t>
  </si>
  <si>
    <t xml:space="preserve">Atypisch höhere Ausstattungskosten: </t>
  </si>
  <si>
    <t>Anlage: Atypische Ausstattungskosten</t>
  </si>
  <si>
    <r>
      <t xml:space="preserve">In diesem Reiter sind nur dann Eintragungen vorzunehmen, wenn es sich - abweichend vom Regelfall - um ein Angebot mit atypischen Ausstattungskosten handelt und Sie deshalb im Reiter "D Ausstatt." in Feld D8 ein "x" gesetzt haben!
</t>
    </r>
    <r>
      <rPr>
        <sz val="11"/>
        <rFont val="Calibri"/>
        <family val="2"/>
        <scheme val="minor"/>
      </rPr>
      <t>In atypischen Fällen, bei denen personenkreisabhängig (bspw. LIBW, TWG) teilhabebedingt ein höherer Ausstattungsumfang oder Ausstattungsstandard notwendig ist,  ist auf Nachweis und einer Begründung über die Notwendigkeit die Anerkennung höherer Ausstattungskosten möglich. Tragen Sie bitte in einem solchen Sonderfall hier in diesem Reiter die Ausstattungsgegenstände ein.</t>
    </r>
  </si>
  <si>
    <t>Summe laufende Ausstattungskosten</t>
  </si>
  <si>
    <t>Bitte tragen Sie ein "x" in Feld D8 ein =&gt;
und füllen Sie den Reiter "Anlage atypische Ausstattung" aus!</t>
  </si>
  <si>
    <t>125 %-Grenze nach § 42a Abs. 5 S. 4 SGB XII:</t>
  </si>
  <si>
    <t>Nachrichtliche Angaben für Nachweis der KdU-Bedarfe gegenüber dem Leistungsträger:</t>
  </si>
  <si>
    <t>durchschnittl. angem. tatsächliche Aufwendungen für die Warmmiete</t>
  </si>
  <si>
    <t>Die Überschreitung in Prozent beträgt:</t>
  </si>
  <si>
    <t>eines 1-Personenhaushaltes (100%):</t>
  </si>
  <si>
    <t>durchschnittliche angemessene tatsächliche Aufwendungen für die Warmmiete</t>
  </si>
  <si>
    <r>
      <t xml:space="preserve">Hinweis zur Hausreinigung:
</t>
    </r>
    <r>
      <rPr>
        <sz val="11"/>
        <rFont val="Calibri"/>
        <family val="2"/>
        <scheme val="minor"/>
      </rPr>
      <t>Hausreinigung wird über das Basismodul in der Fachleistung vergütet und deshalb im KdU-Tool nicht angesetzt, da keine doppelte Anrechnung erfolgen darf.</t>
    </r>
  </si>
  <si>
    <r>
      <t xml:space="preserve">Ausstattungskosten:
</t>
    </r>
    <r>
      <rPr>
        <u/>
        <sz val="11"/>
        <rFont val="Calibri"/>
        <family val="2"/>
        <scheme val="minor"/>
      </rPr>
      <t>Regelfall:</t>
    </r>
    <r>
      <rPr>
        <sz val="11"/>
        <rFont val="Calibri"/>
        <family val="2"/>
        <scheme val="minor"/>
      </rPr>
      <t xml:space="preserve"> Ausstattungskosten bis zu einer Höhe von 6.000 € gelten grundsätzlich als angemessen.
Die Höhe dieser Pauschale soll zum 01.01.2025 überprüft und ggfs. an die Kostenentwicklung angepasst werden.
</t>
    </r>
    <r>
      <rPr>
        <u/>
        <sz val="11"/>
        <rFont val="Calibri"/>
        <family val="2"/>
        <scheme val="minor"/>
      </rPr>
      <t>Atypische Fälle:</t>
    </r>
    <r>
      <rPr>
        <sz val="11"/>
        <rFont val="Calibri"/>
        <family val="2"/>
        <scheme val="minor"/>
      </rPr>
      <t xml:space="preserve"> In atypischen Fällen, bei denen personenkreisabhängig (bspw. LIBW, TWG) teilhabebedingt ein höherer Ausstattungsumfang oder Ausstattungsstandard notwendig ist,  ist auf Nachweis und mit einer Begründung über die Notwendigkeit die Anerkennung höherer Ausstattungskosten möglich. </t>
    </r>
    <r>
      <rPr>
        <b/>
        <sz val="11"/>
        <rFont val="Calibri"/>
        <family val="2"/>
        <scheme val="minor"/>
      </rPr>
      <t xml:space="preserve">
Bitte treffen Sie fogende Auswahl:</t>
    </r>
  </si>
  <si>
    <t>Hochrechnung auf AHK gemieteter/geleaster Ausstattung:</t>
  </si>
  <si>
    <r>
      <t xml:space="preserve">Die Kosten liegen </t>
    </r>
    <r>
      <rPr>
        <b/>
        <u/>
        <sz val="11"/>
        <rFont val="Calibri"/>
        <family val="2"/>
        <scheme val="minor"/>
      </rPr>
      <t>NICHT</t>
    </r>
    <r>
      <rPr>
        <b/>
        <sz val="11"/>
        <rFont val="Calibri"/>
        <family val="2"/>
        <scheme val="minor"/>
      </rPr>
      <t xml:space="preserve"> nach Kostengruppen 
getrennt vor.</t>
    </r>
  </si>
  <si>
    <t>Regelfall: Berechnung auf Basis der Ist-Kosten</t>
  </si>
  <si>
    <t>Bitte tragen Sie ein "x" in Feld D18 ein =&gt;</t>
  </si>
  <si>
    <r>
      <rPr>
        <b/>
        <sz val="11"/>
        <rFont val="Calibri"/>
        <family val="2"/>
        <scheme val="minor"/>
      </rPr>
      <t>Nur bei Berechnung mit Ist-Kosten: Liegt eine Aufteilung der Kosten nach Kostengruppen nach DIN267 vor?</t>
    </r>
    <r>
      <rPr>
        <sz val="11"/>
        <rFont val="Calibri"/>
        <family val="2"/>
        <scheme val="minor"/>
      </rPr>
      <t xml:space="preserve">
Falls ja, tragen Sie diese bitte ab Zeile 24 bei den Anschaffungskosten in die Felder der entsprechenden Kostengruppen ein. 
Sofern jedoch </t>
    </r>
    <r>
      <rPr>
        <u/>
        <sz val="11"/>
        <rFont val="Calibri"/>
        <family val="2"/>
        <scheme val="minor"/>
      </rPr>
      <t xml:space="preserve">keine Aufteilung der AHK nach Kostengruppen ermittelbar </t>
    </r>
    <r>
      <rPr>
        <sz val="11"/>
        <rFont val="Calibri"/>
        <family val="2"/>
        <scheme val="minor"/>
      </rPr>
      <t>ist, kann für Gebäude, die ab 2005 in Betrieb genommen wurden, statt der gestaffelten AfA-Sätze (Gebäude 2,0%, technische Anlagen 6,7% und Außenanlagen 4%) ein einheitlicher AfA-Satz von 3,33% angesetzt werden. Das KdU-Tool berechnet dies automatisiert, wenn Sie in Feld D18 ein "x" setzen.
Bei Gebäuden, die vor 2005 in Betrieb gingen, wird automatisch eine einheitliche Gebäude-Abschreibung von 2,45% hinterlegt.</t>
    </r>
  </si>
  <si>
    <r>
      <t xml:space="preserve">Gebäude Kaltmiete </t>
    </r>
    <r>
      <rPr>
        <sz val="11"/>
        <color theme="1"/>
        <rFont val="Calibri"/>
        <family val="2"/>
        <scheme val="minor"/>
      </rPr>
      <t>(inkl. Ausfallwagnis und Mietverwaltung)</t>
    </r>
  </si>
  <si>
    <t>Aufschlag Sonder-Infrastruktur</t>
  </si>
  <si>
    <t>Aufschlag für zentrale Verwaltungsflächen</t>
  </si>
  <si>
    <t>Höhe der durchschnittlichen angemessenen tatsächlichen Aufwendungen für die 
Warmmiete eines Einpersonenhaushalts in der jeweiligen Kommune (ggfs. ist prospektiv mit Blick auf die Veränderung dieser Sätze eine Anpassung vorzunehmen.)</t>
  </si>
  <si>
    <t>Standort-Kreis:</t>
  </si>
  <si>
    <t>Mietberechnung - KdU-Tool</t>
  </si>
  <si>
    <t>Laufende Ausstattungskosten: gemietete Ausstattung (bspw. Kopierer, EDV, Software,...) und geringw. Wirtschaftsgüter</t>
  </si>
  <si>
    <t xml:space="preserve">   davon persönl. Wohnflächen inkl. Gemeinschaftsflächen</t>
  </si>
  <si>
    <t>persönliche Wohnflächen + Gemeinschaftsfl.</t>
  </si>
  <si>
    <r>
      <rPr>
        <b/>
        <i/>
        <sz val="11"/>
        <rFont val="Calibri"/>
        <family val="2"/>
        <scheme val="minor"/>
      </rPr>
      <t>Räumlichkeiten zur gemeinschaftlichen Nutzung</t>
    </r>
    <r>
      <rPr>
        <i/>
        <sz val="11"/>
        <rFont val="Calibri"/>
        <family val="2"/>
        <scheme val="minor"/>
      </rPr>
      <t xml:space="preserve">gem. §42a Absatz 5 Satz 4 Nr.3 SGB XII </t>
    </r>
  </si>
  <si>
    <t>AfA ohne Ausstattung</t>
  </si>
  <si>
    <t>AfA Gebäude und Zubehör</t>
  </si>
  <si>
    <r>
      <t xml:space="preserve">Hier sind nur Nebenkosten einzutragen, die sich auf Sonder-Infrastruktur aus Reiter "B_2 Sonderinfrastruktur" beziehen, die noch nicht über andere Refinanzierungsquellen abgedeckt sind und insbesondere nicht bereits in den Nebenkosten des Wohngebäudes enthalten sind (z.B. über Abrechnung Kosten Strom, Wärme, Wasser, Abwasser...). Bitte lesen Sie hierzu auch die Erläuterungen in der der Ausfüllhilfe. 
</t>
    </r>
    <r>
      <rPr>
        <b/>
        <sz val="11"/>
        <rFont val="Calibri"/>
        <family val="2"/>
        <scheme val="minor"/>
      </rPr>
      <t>Nicht zu berücksichtigen sind die Nebenkosten von Flächen zentraler Verwaltung</t>
    </r>
    <r>
      <rPr>
        <sz val="11"/>
        <rFont val="Calibri"/>
        <family val="2"/>
        <scheme val="minor"/>
      </rPr>
      <t xml:space="preserve">, da diese bereits über einen Aufschlag auf die Gesamtmiete automatisch pauschaliert im Reiter Mietberechnung berücksichtigt werden.
</t>
    </r>
    <r>
      <rPr>
        <b/>
        <sz val="11"/>
        <rFont val="Calibri"/>
        <family val="2"/>
        <scheme val="minor"/>
      </rPr>
      <t>Wenn Sie keine zentrale Infrastruktur haben, die anteilig zu berücksichtigen ist, lassen Sie diesen Reiter einfach frei.</t>
    </r>
  </si>
  <si>
    <t>ggfs. abweichender Prozentsatz</t>
  </si>
  <si>
    <t>bspw. auf Basis akt. Kostenrichtwert</t>
  </si>
  <si>
    <t>für Instandhaltung</t>
  </si>
  <si>
    <t>Basis für Berechnung Instandhalt.</t>
  </si>
  <si>
    <t>nur bei angemieteten Gebäuden:</t>
  </si>
  <si>
    <r>
      <t xml:space="preserve">Hier sind nur Investitionskosten von Sonder-Infrastruktur außerhalb des konkreten Wohngebäudes zu erfassen, die nicht bereits über andere Refinanzierungsquellen abgedeckt sind, dem konkreten Wohngebäude jedoch anteilig zuzurechnen sind. Siehe Erläuterungen unter Punkt 4.1 im Leitfaden.
Nicht zu berücksichtigen sind die Flächen zentraler Verwaltung, da diese bereits über einen Aufschlag in Höhe von 3% auf die Gesamtmiete automatisch pauschaliert im Reiter Mietberechnung berücksichtigt werden.
</t>
    </r>
    <r>
      <rPr>
        <b/>
        <sz val="11"/>
        <rFont val="Calibri"/>
        <family val="2"/>
        <scheme val="minor"/>
      </rPr>
      <t>Wenn Sie keine zentrale Infrastruktur haben, die anteilig zu berücksichtigen ist, lassen Sie diesen Reiter einfach frei.</t>
    </r>
  </si>
  <si>
    <r>
      <t xml:space="preserve">Nur bei Berechnung mit Ist-Kosten: Liegen die Gebäudekosten abgegrenzt für den Heimbereich vor?
</t>
    </r>
    <r>
      <rPr>
        <sz val="11"/>
        <rFont val="Calibri"/>
        <family val="2"/>
        <scheme val="minor"/>
      </rPr>
      <t xml:space="preserve">Sofern die Gebäudekosten bereits getrennt für den Heimbereich vorliegen (bspw. aus Förderverfahren), werden die Kosten anhand des Flächenschlüssels "persönliche Wohnfläche : Fachleistungsflächen" verteilt (Standardfall, Schlüssel aus Reiter A Flächen Feld E174 und 
E 175). 
Nur sofern die Gebäudekosten lediglich für das Gesamtgebäude </t>
    </r>
    <r>
      <rPr>
        <u/>
        <sz val="11"/>
        <rFont val="Calibri"/>
        <family val="2"/>
        <scheme val="minor"/>
      </rPr>
      <t>inkl. freier Flächen</t>
    </r>
    <r>
      <rPr>
        <sz val="11"/>
        <rFont val="Calibri"/>
        <family val="2"/>
        <scheme val="minor"/>
      </rPr>
      <t xml:space="preserve"> (freie Wohnungen u.ä.) vorliegen, müssen die Kosten anhand des Flächenschlüssels aufgeteilt werden, der auch die freien Flächen berücksichtigt (Sonderfall, Schlüssel aus Reiter A Flächen, Felder E169 und E170).</t>
    </r>
    <r>
      <rPr>
        <b/>
        <sz val="11"/>
        <rFont val="Calibri"/>
        <family val="2"/>
        <scheme val="minor"/>
      </rPr>
      <t xml:space="preserve">
Bitte treffen Sie fogende Auswahl:</t>
    </r>
  </si>
  <si>
    <r>
      <rPr>
        <b/>
        <sz val="11"/>
        <rFont val="Calibri"/>
        <family val="2"/>
        <scheme val="minor"/>
      </rPr>
      <t xml:space="preserve">Grundsätzlich erfolgt die Berechnung anhand der </t>
    </r>
    <r>
      <rPr>
        <b/>
        <u/>
        <sz val="11"/>
        <rFont val="Calibri"/>
        <family val="2"/>
        <scheme val="minor"/>
      </rPr>
      <t>tatsächlichen angemessenen Kosten</t>
    </r>
    <r>
      <rPr>
        <b/>
        <sz val="11"/>
        <rFont val="Calibri"/>
        <family val="2"/>
        <scheme val="minor"/>
      </rPr>
      <t xml:space="preserve">. </t>
    </r>
    <r>
      <rPr>
        <sz val="11"/>
        <rFont val="Calibri"/>
        <family val="2"/>
        <scheme val="minor"/>
      </rPr>
      <t xml:space="preserve">Sofern für Altgebäude die Anschaffungs- und Herstellungskosten nicht mehr nachgewiesen werden können, ist (hilfsweise) der zuletzt vereinbarte IK-Satz anzuwenden. Da der bisherige IK-Satz bereits einen Anteil für Ausstattung enthält, ist Reiter 
"D Ausstattung" in diesem Fall nicht mehr auszufüllen.
</t>
    </r>
    <r>
      <rPr>
        <b/>
        <sz val="11"/>
        <rFont val="Calibri"/>
        <family val="2"/>
        <scheme val="minor"/>
      </rPr>
      <t>Bitte treffen Sie fogende Auswahl:</t>
    </r>
  </si>
  <si>
    <t>Vor Ausfüllen des KdU-Tools wird die Lektüre der Ausfüllhilfe empfohlen!</t>
  </si>
  <si>
    <t>laufender jährl. Auswand für Miete/Pacht/Leasing für Gebäude und Grundstücke</t>
  </si>
  <si>
    <t>Version 1.7</t>
  </si>
  <si>
    <t>pro Belegungstag:</t>
  </si>
  <si>
    <r>
      <rPr>
        <b/>
        <sz val="11"/>
        <color theme="1"/>
        <rFont val="Calibri"/>
        <family val="2"/>
        <scheme val="minor"/>
      </rPr>
      <t>Mietverwaltung</t>
    </r>
    <r>
      <rPr>
        <sz val="11"/>
        <color theme="1"/>
        <rFont val="Calibri"/>
        <family val="2"/>
        <scheme val="minor"/>
      </rPr>
      <t xml:space="preserve"> </t>
    </r>
  </si>
  <si>
    <t xml:space="preserve">Verwaltungskosten </t>
  </si>
  <si>
    <t>Anlage: Verwaltungskosten indexiert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</si>
</sst>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0.000"/>
    <numFmt numFmtId="165" formatCode="#,##0.00_ ;[Red]\-#,##0.00\ "/>
    <numFmt numFmtId="166" formatCode="_-* #,##0\ &quot;€&quot;_-;\-* #,##0\ &quot;€&quot;_-;_-* &quot;-&quot;??\ &quot;€&quot;_-;_-@_-"/>
    <numFmt numFmtId="167" formatCode="#,##0.00_-;#,##0.00\-;&quot; &quot;"/>
    <numFmt numFmtId="168" formatCode="#,##0.00_ ;\-#,##0.00\ "/>
    <numFmt numFmtId="169" formatCode="_-* #,##0.00\ [$€-1]_-;\-* #,##0.00\ [$€-1]_-;_-* &quot;-&quot;??\ [$€-1]_-"/>
    <numFmt numFmtId="170" formatCode="#,##0.00\ &quot;€&quot;"/>
    <numFmt numFmtId="171" formatCode="#,##0\ &quot;€&quot;"/>
  </numFmts>
  <fonts count="6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0"/>
      <name val="Arial"/>
      <family val="2"/>
    </font>
    <font>
      <sz val="9"/>
      <color theme="1"/>
      <name val="Calibri"/>
      <family val="2"/>
      <scheme val="minor"/>
    </font>
    <font>
      <sz val="11"/>
      <name val="Calibri"/>
      <family val="2"/>
      <scheme val="minor"/>
    </font>
    <font>
      <b/>
      <sz val="14"/>
      <color rgb="FFFF0000"/>
      <name val="Calibri"/>
      <family val="2"/>
      <scheme val="minor"/>
    </font>
    <font>
      <b/>
      <sz val="11"/>
      <color rgb="FFFF0000"/>
      <name val="Calibri"/>
      <family val="2"/>
      <scheme val="minor"/>
    </font>
    <font>
      <b/>
      <sz val="11"/>
      <color rgb="FF002060"/>
      <name val="Calibri"/>
      <family val="2"/>
      <scheme val="minor"/>
    </font>
    <font>
      <sz val="11"/>
      <color rgb="FF002060"/>
      <name val="Calibri"/>
      <family val="2"/>
      <scheme val="minor"/>
    </font>
    <font>
      <sz val="14"/>
      <name val="Calibri"/>
      <family val="2"/>
      <scheme val="minor"/>
    </font>
    <font>
      <b/>
      <sz val="14"/>
      <name val="Calibri"/>
      <family val="2"/>
      <scheme val="minor"/>
    </font>
    <font>
      <b/>
      <sz val="11"/>
      <name val="Calibri"/>
      <family val="2"/>
      <scheme val="minor"/>
    </font>
    <font>
      <b/>
      <sz val="11"/>
      <color theme="0" tint="-0.499984740745262"/>
      <name val="Calibri"/>
      <family val="2"/>
      <scheme val="minor"/>
    </font>
    <font>
      <sz val="14"/>
      <color theme="1"/>
      <name val="Calibri"/>
      <family val="2"/>
      <scheme val="minor"/>
    </font>
    <font>
      <sz val="10"/>
      <name val="Calibri"/>
      <family val="2"/>
      <scheme val="minor"/>
    </font>
    <font>
      <b/>
      <sz val="16"/>
      <color indexed="8"/>
      <name val="Calibri"/>
      <family val="2"/>
      <scheme val="minor"/>
    </font>
    <font>
      <sz val="8"/>
      <name val="Calibri"/>
      <family val="2"/>
      <scheme val="minor"/>
    </font>
    <font>
      <b/>
      <u/>
      <sz val="11"/>
      <color theme="1"/>
      <name val="Calibri"/>
      <family val="2"/>
      <scheme val="minor"/>
    </font>
    <font>
      <b/>
      <sz val="12"/>
      <name val="Calibri"/>
      <family val="2"/>
      <scheme val="minor"/>
    </font>
    <font>
      <sz val="8"/>
      <color theme="1"/>
      <name val="Calibri"/>
      <family val="2"/>
      <scheme val="minor"/>
    </font>
    <font>
      <sz val="10"/>
      <color theme="1"/>
      <name val="Calibri"/>
      <family val="2"/>
      <scheme val="minor"/>
    </font>
    <font>
      <b/>
      <sz val="10"/>
      <name val="Calibri"/>
      <family val="2"/>
      <scheme val="minor"/>
    </font>
    <font>
      <b/>
      <sz val="11"/>
      <color indexed="8"/>
      <name val="Calibri"/>
      <family val="2"/>
      <scheme val="minor"/>
    </font>
    <font>
      <b/>
      <sz val="12"/>
      <color theme="1"/>
      <name val="Calibri"/>
      <family val="2"/>
      <scheme val="minor"/>
    </font>
    <font>
      <sz val="11"/>
      <color theme="0" tint="-0.499984740745262"/>
      <name val="Calibri"/>
      <family val="2"/>
      <scheme val="minor"/>
    </font>
    <font>
      <sz val="9"/>
      <name val="Calibri"/>
      <family val="2"/>
      <scheme val="minor"/>
    </font>
    <font>
      <i/>
      <sz val="10"/>
      <color theme="1"/>
      <name val="Calibri"/>
      <family val="2"/>
      <scheme val="minor"/>
    </font>
    <font>
      <b/>
      <sz val="9"/>
      <name val="Calibri"/>
      <family val="2"/>
      <scheme val="minor"/>
    </font>
    <font>
      <b/>
      <sz val="8"/>
      <color indexed="81"/>
      <name val="Tahoma"/>
      <family val="2"/>
    </font>
    <font>
      <sz val="8"/>
      <color indexed="81"/>
      <name val="Tahoma"/>
      <family val="2"/>
    </font>
    <font>
      <b/>
      <sz val="20"/>
      <color theme="1"/>
      <name val="Calibri"/>
      <family val="2"/>
      <scheme val="minor"/>
    </font>
    <font>
      <b/>
      <sz val="20"/>
      <color indexed="8"/>
      <name val="Calibri"/>
      <family val="2"/>
      <scheme val="minor"/>
    </font>
    <font>
      <i/>
      <sz val="11"/>
      <name val="Calibri"/>
      <family val="2"/>
      <scheme val="minor"/>
    </font>
    <font>
      <sz val="12"/>
      <name val="Calibri"/>
      <family val="2"/>
      <scheme val="minor"/>
    </font>
    <font>
      <b/>
      <i/>
      <sz val="11"/>
      <name val="Calibri"/>
      <family val="2"/>
      <scheme val="minor"/>
    </font>
    <font>
      <sz val="11"/>
      <color indexed="8"/>
      <name val="Calibri"/>
      <family val="2"/>
      <scheme val="minor"/>
    </font>
    <font>
      <sz val="9"/>
      <color indexed="81"/>
      <name val="Tahoma"/>
      <family val="2"/>
    </font>
    <font>
      <sz val="10"/>
      <color rgb="FFFF0000"/>
      <name val="Calibri"/>
      <family val="2"/>
      <scheme val="minor"/>
    </font>
    <font>
      <i/>
      <sz val="11"/>
      <color theme="1"/>
      <name val="Calibri"/>
      <family val="2"/>
      <scheme val="minor"/>
    </font>
    <font>
      <i/>
      <sz val="11"/>
      <color theme="0" tint="-0.499984740745262"/>
      <name val="Calibri"/>
      <family val="2"/>
      <scheme val="minor"/>
    </font>
    <font>
      <i/>
      <u/>
      <sz val="11"/>
      <name val="Calibri"/>
      <family val="2"/>
      <scheme val="minor"/>
    </font>
    <font>
      <b/>
      <sz val="20"/>
      <name val="Calibri"/>
      <family val="2"/>
      <scheme val="minor"/>
    </font>
    <font>
      <b/>
      <u/>
      <sz val="12"/>
      <name val="Calibri"/>
      <family val="2"/>
      <scheme val="minor"/>
    </font>
    <font>
      <b/>
      <i/>
      <sz val="12"/>
      <name val="Calibri"/>
      <family val="2"/>
      <scheme val="minor"/>
    </font>
    <font>
      <b/>
      <i/>
      <u/>
      <sz val="12"/>
      <name val="Calibri"/>
      <family val="2"/>
      <scheme val="minor"/>
    </font>
    <font>
      <b/>
      <sz val="14"/>
      <color theme="0" tint="-0.499984740745262"/>
      <name val="Calibri"/>
      <family val="2"/>
      <scheme val="minor"/>
    </font>
    <font>
      <b/>
      <sz val="8"/>
      <name val="Calibri"/>
      <family val="2"/>
      <scheme val="minor"/>
    </font>
    <font>
      <i/>
      <sz val="8"/>
      <color theme="1"/>
      <name val="Calibri"/>
      <family val="2"/>
      <scheme val="minor"/>
    </font>
    <font>
      <b/>
      <sz val="16"/>
      <name val="Calibri"/>
      <family val="2"/>
      <scheme val="minor"/>
    </font>
    <font>
      <b/>
      <sz val="24"/>
      <name val="Calibri"/>
      <family val="2"/>
      <scheme val="minor"/>
    </font>
    <font>
      <b/>
      <sz val="10"/>
      <color rgb="FFFF0000"/>
      <name val="Calibri"/>
      <family val="2"/>
      <scheme val="minor"/>
    </font>
    <font>
      <sz val="24"/>
      <name val="Calibri"/>
      <family val="2"/>
      <scheme val="minor"/>
    </font>
    <font>
      <u/>
      <sz val="11"/>
      <name val="Calibri"/>
      <family val="2"/>
      <scheme val="minor"/>
    </font>
    <font>
      <b/>
      <u/>
      <sz val="11"/>
      <name val="Calibri"/>
      <family val="2"/>
      <scheme val="minor"/>
    </font>
    <font>
      <b/>
      <sz val="16"/>
      <color theme="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8"/>
      <color theme="0"/>
      <name val="Calibri"/>
      <family val="2"/>
      <scheme val="minor"/>
    </font>
    <font>
      <strike/>
      <sz val="11"/>
      <color rgb="FFFF0000"/>
      <name val="Calibri"/>
      <family val="2"/>
      <scheme val="minor"/>
    </font>
    <font>
      <b/>
      <sz val="9"/>
      <color indexed="81"/>
      <name val="Tahoma"/>
      <family val="2"/>
    </font>
    <font>
      <b/>
      <u/>
      <sz val="9"/>
      <color indexed="81"/>
      <name val="Tahoma"/>
      <family val="2"/>
    </font>
  </fonts>
  <fills count="1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theme="3" tint="0.79998168889431442"/>
        <bgColor indexed="64"/>
      </patternFill>
    </fill>
    <fill>
      <patternFill patternType="lightUp">
        <fgColor rgb="FFFFFF66"/>
        <bgColor theme="0" tint="-0.14996795556505021"/>
      </patternFill>
    </fill>
    <fill>
      <patternFill patternType="solid">
        <fgColor theme="0" tint="-4.9989318521683403E-2"/>
        <bgColor indexed="64"/>
      </patternFill>
    </fill>
    <fill>
      <patternFill patternType="solid">
        <fgColor rgb="FFDAE7F6"/>
        <bgColor indexed="64"/>
      </patternFill>
    </fill>
    <fill>
      <patternFill patternType="solid">
        <fgColor rgb="FFDAE7F6"/>
        <bgColor rgb="FFFFFF66"/>
      </patternFill>
    </fill>
    <fill>
      <patternFill patternType="solid">
        <fgColor theme="0" tint="-0.14993743705557422"/>
        <bgColor theme="0"/>
      </patternFill>
    </fill>
    <fill>
      <patternFill patternType="solid">
        <fgColor theme="0" tint="-0.14993743705557422"/>
        <bgColor auto="1"/>
      </patternFill>
    </fill>
    <fill>
      <patternFill patternType="solid">
        <fgColor theme="4" tint="-0.499984740745262"/>
        <bgColor indexed="64"/>
      </patternFill>
    </fill>
    <fill>
      <patternFill patternType="solid">
        <fgColor theme="4" tint="-0.249977111117893"/>
        <bgColor indexed="64"/>
      </patternFill>
    </fill>
  </fills>
  <borders count="10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diagonalUp="1" diagonalDown="1">
      <left style="medium">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diagonalUp="1" diagonalDown="1">
      <left style="medium">
        <color indexed="64"/>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double">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right/>
      <top style="thick">
        <color indexed="64"/>
      </top>
      <bottom/>
      <diagonal/>
    </border>
    <border>
      <left/>
      <right/>
      <top/>
      <bottom style="thick">
        <color indexed="64"/>
      </bottom>
      <diagonal/>
    </border>
    <border>
      <left/>
      <right style="medium">
        <color indexed="64"/>
      </right>
      <top style="medium">
        <color indexed="64"/>
      </top>
      <bottom style="medium">
        <color indexed="64"/>
      </bottom>
      <diagonal/>
    </border>
    <border>
      <left style="thin">
        <color indexed="64"/>
      </left>
      <right/>
      <top style="thick">
        <color indexed="64"/>
      </top>
      <bottom/>
      <diagonal/>
    </border>
    <border>
      <left style="thin">
        <color indexed="64"/>
      </left>
      <right/>
      <top/>
      <bottom style="thick">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9" fontId="5" fillId="0" borderId="0" applyFont="0" applyFill="0" applyBorder="0" applyAlignment="0" applyProtection="0"/>
    <xf numFmtId="169" fontId="5" fillId="0" borderId="0" applyFont="0" applyFill="0" applyBorder="0" applyAlignment="0" applyProtection="0"/>
  </cellStyleXfs>
  <cellXfs count="1116">
    <xf numFmtId="0" fontId="0" fillId="0" borderId="0" xfId="0"/>
    <xf numFmtId="0" fontId="7" fillId="4" borderId="4" xfId="0" applyFont="1" applyFill="1" applyBorder="1" applyProtection="1"/>
    <xf numFmtId="0" fontId="44" fillId="4" borderId="0" xfId="0" applyFont="1" applyFill="1" applyBorder="1" applyProtection="1"/>
    <xf numFmtId="0" fontId="7" fillId="4" borderId="0" xfId="0" applyFont="1" applyFill="1" applyBorder="1" applyProtection="1"/>
    <xf numFmtId="0" fontId="13" fillId="4" borderId="39" xfId="0" applyFont="1" applyFill="1" applyBorder="1" applyAlignment="1" applyProtection="1">
      <alignment horizontal="left"/>
    </xf>
    <xf numFmtId="0" fontId="13" fillId="4" borderId="27" xfId="0" applyFont="1" applyFill="1" applyBorder="1" applyProtection="1"/>
    <xf numFmtId="0" fontId="13" fillId="0" borderId="32" xfId="0" applyFont="1" applyFill="1" applyBorder="1" applyAlignment="1" applyProtection="1">
      <alignment horizontal="right"/>
    </xf>
    <xf numFmtId="0" fontId="7" fillId="4" borderId="11" xfId="0" applyFont="1" applyFill="1" applyBorder="1" applyProtection="1"/>
    <xf numFmtId="44" fontId="7" fillId="4" borderId="2" xfId="0" applyNumberFormat="1" applyFont="1" applyFill="1" applyBorder="1" applyProtection="1"/>
    <xf numFmtId="1" fontId="7" fillId="4" borderId="2" xfId="0" applyNumberFormat="1" applyFont="1" applyFill="1" applyBorder="1" applyAlignment="1" applyProtection="1">
      <alignment horizontal="right"/>
    </xf>
    <xf numFmtId="44" fontId="7" fillId="0" borderId="76" xfId="0" applyNumberFormat="1" applyFont="1" applyFill="1" applyBorder="1" applyProtection="1"/>
    <xf numFmtId="1" fontId="7" fillId="0" borderId="12" xfId="0" applyNumberFormat="1" applyFont="1" applyFill="1" applyBorder="1" applyAlignment="1" applyProtection="1">
      <alignment horizontal="center" wrapText="1"/>
    </xf>
    <xf numFmtId="44" fontId="7" fillId="0" borderId="79" xfId="0" applyNumberFormat="1" applyFont="1" applyFill="1" applyBorder="1" applyProtection="1"/>
    <xf numFmtId="0" fontId="14" fillId="4" borderId="7" xfId="0" applyFont="1" applyFill="1" applyBorder="1" applyProtection="1"/>
    <xf numFmtId="0" fontId="13" fillId="4" borderId="14" xfId="0" applyFont="1" applyFill="1" applyBorder="1" applyProtection="1"/>
    <xf numFmtId="0" fontId="13" fillId="4" borderId="15" xfId="0" applyFont="1" applyFill="1" applyBorder="1" applyProtection="1"/>
    <xf numFmtId="0" fontId="14" fillId="4" borderId="2" xfId="0" applyFont="1" applyFill="1" applyBorder="1" applyAlignment="1" applyProtection="1">
      <alignment horizontal="center" wrapText="1"/>
    </xf>
    <xf numFmtId="0" fontId="14" fillId="4" borderId="16" xfId="0" applyFont="1" applyFill="1" applyBorder="1" applyAlignment="1" applyProtection="1">
      <alignment horizontal="center" wrapText="1"/>
    </xf>
    <xf numFmtId="0" fontId="13" fillId="4" borderId="2" xfId="0" applyFont="1" applyFill="1" applyBorder="1" applyAlignment="1" applyProtection="1">
      <alignment horizontal="center" wrapText="1"/>
    </xf>
    <xf numFmtId="1" fontId="13" fillId="4" borderId="16" xfId="0" applyNumberFormat="1" applyFont="1" applyFill="1" applyBorder="1" applyAlignment="1" applyProtection="1">
      <alignment horizontal="center" wrapText="1"/>
    </xf>
    <xf numFmtId="0" fontId="13" fillId="2" borderId="2" xfId="0" applyFont="1" applyFill="1" applyBorder="1" applyProtection="1"/>
    <xf numFmtId="0" fontId="13" fillId="2" borderId="16" xfId="0" applyFont="1" applyFill="1" applyBorder="1" applyProtection="1"/>
    <xf numFmtId="44" fontId="13" fillId="2" borderId="2" xfId="0" applyNumberFormat="1" applyFont="1" applyFill="1" applyBorder="1" applyAlignment="1" applyProtection="1">
      <alignment horizontal="right"/>
    </xf>
    <xf numFmtId="0" fontId="13" fillId="2" borderId="18" xfId="0" applyFont="1" applyFill="1" applyBorder="1" applyProtection="1"/>
    <xf numFmtId="44" fontId="13" fillId="2" borderId="13" xfId="0" applyNumberFormat="1" applyFont="1" applyFill="1" applyBorder="1" applyAlignment="1" applyProtection="1">
      <alignment horizontal="right"/>
    </xf>
    <xf numFmtId="0" fontId="13" fillId="2" borderId="12" xfId="0" applyFont="1" applyFill="1" applyBorder="1" applyProtection="1"/>
    <xf numFmtId="0" fontId="13" fillId="2" borderId="51" xfId="0" applyFont="1" applyFill="1" applyBorder="1" applyProtection="1"/>
    <xf numFmtId="44" fontId="13" fillId="2" borderId="12" xfId="0" applyNumberFormat="1" applyFont="1" applyFill="1" applyBorder="1" applyAlignment="1" applyProtection="1">
      <alignment horizontal="right"/>
    </xf>
    <xf numFmtId="0" fontId="13" fillId="4" borderId="7" xfId="0" applyFont="1" applyFill="1" applyBorder="1" applyProtection="1"/>
    <xf numFmtId="0" fontId="13" fillId="4" borderId="1" xfId="0" applyFont="1" applyFill="1" applyBorder="1" applyProtection="1"/>
    <xf numFmtId="44" fontId="13" fillId="2" borderId="8" xfId="0" applyNumberFormat="1" applyFont="1" applyFill="1" applyBorder="1" applyAlignment="1" applyProtection="1">
      <alignment horizontal="right"/>
    </xf>
    <xf numFmtId="0" fontId="7" fillId="4" borderId="6" xfId="0" applyFont="1" applyFill="1" applyBorder="1" applyProtection="1"/>
    <xf numFmtId="0" fontId="7" fillId="4" borderId="0" xfId="0" applyFont="1" applyFill="1" applyBorder="1" applyAlignment="1" applyProtection="1">
      <alignment horizontal="right"/>
    </xf>
    <xf numFmtId="0" fontId="7" fillId="4" borderId="11" xfId="0" applyFont="1" applyFill="1" applyBorder="1" applyAlignment="1" applyProtection="1">
      <alignment horizontal="right"/>
    </xf>
    <xf numFmtId="0" fontId="13" fillId="2" borderId="83" xfId="0" applyFont="1" applyFill="1" applyBorder="1" applyProtection="1"/>
    <xf numFmtId="0" fontId="13" fillId="2" borderId="80" xfId="0" applyFont="1" applyFill="1" applyBorder="1" applyProtection="1"/>
    <xf numFmtId="0" fontId="7" fillId="2" borderId="81" xfId="0" applyFont="1" applyFill="1" applyBorder="1" applyProtection="1"/>
    <xf numFmtId="0" fontId="7" fillId="4" borderId="0" xfId="0" applyFont="1" applyFill="1" applyBorder="1" applyAlignment="1" applyProtection="1">
      <alignment horizontal="left"/>
    </xf>
    <xf numFmtId="0" fontId="13" fillId="2" borderId="3" xfId="0" applyFont="1" applyFill="1" applyBorder="1" applyProtection="1"/>
    <xf numFmtId="0" fontId="13" fillId="2" borderId="4" xfId="0" applyFont="1" applyFill="1" applyBorder="1" applyProtection="1"/>
    <xf numFmtId="0" fontId="7" fillId="2" borderId="7" xfId="0" applyFont="1" applyFill="1" applyBorder="1" applyProtection="1"/>
    <xf numFmtId="0" fontId="7" fillId="2" borderId="1" xfId="0" applyFont="1" applyFill="1" applyBorder="1" applyProtection="1"/>
    <xf numFmtId="0" fontId="13" fillId="2" borderId="6" xfId="0" applyFont="1" applyFill="1" applyBorder="1" applyProtection="1"/>
    <xf numFmtId="0" fontId="13" fillId="2" borderId="0" xfId="0" applyFont="1" applyFill="1" applyBorder="1" applyProtection="1"/>
    <xf numFmtId="0" fontId="13" fillId="2" borderId="84" xfId="0" applyFont="1" applyFill="1" applyBorder="1" applyProtection="1"/>
    <xf numFmtId="0" fontId="13" fillId="2" borderId="81" xfId="0" applyFont="1" applyFill="1" applyBorder="1" applyProtection="1"/>
    <xf numFmtId="0" fontId="13" fillId="4" borderId="26" xfId="0" applyFont="1" applyFill="1" applyBorder="1" applyProtection="1"/>
    <xf numFmtId="0" fontId="7" fillId="4" borderId="40" xfId="0" applyFont="1" applyFill="1" applyBorder="1" applyProtection="1"/>
    <xf numFmtId="44" fontId="13" fillId="4" borderId="28" xfId="0" applyNumberFormat="1" applyFont="1" applyFill="1" applyBorder="1" applyProtection="1"/>
    <xf numFmtId="44" fontId="13" fillId="4" borderId="25" xfId="0" applyNumberFormat="1" applyFont="1" applyFill="1" applyBorder="1" applyProtection="1"/>
    <xf numFmtId="44" fontId="13" fillId="4" borderId="82" xfId="0" applyNumberFormat="1" applyFont="1" applyFill="1" applyBorder="1" applyProtection="1"/>
    <xf numFmtId="0" fontId="13" fillId="4" borderId="6" xfId="0" applyFont="1" applyFill="1" applyBorder="1" applyProtection="1"/>
    <xf numFmtId="0" fontId="13" fillId="4" borderId="0" xfId="0" applyFont="1" applyFill="1" applyBorder="1" applyProtection="1"/>
    <xf numFmtId="0" fontId="7" fillId="4" borderId="0" xfId="0" applyFont="1" applyFill="1" applyBorder="1" applyAlignment="1" applyProtection="1">
      <alignment wrapText="1"/>
    </xf>
    <xf numFmtId="44" fontId="14" fillId="2" borderId="2" xfId="0" applyNumberFormat="1" applyFont="1" applyFill="1" applyBorder="1" applyProtection="1"/>
    <xf numFmtId="44" fontId="14" fillId="2" borderId="12" xfId="0" applyNumberFormat="1" applyFont="1" applyFill="1" applyBorder="1" applyProtection="1"/>
    <xf numFmtId="0" fontId="14" fillId="4" borderId="20" xfId="0" applyFont="1" applyFill="1" applyBorder="1" applyProtection="1"/>
    <xf numFmtId="0" fontId="14" fillId="4" borderId="10" xfId="0" applyFont="1" applyFill="1" applyBorder="1" applyProtection="1"/>
    <xf numFmtId="44" fontId="14" fillId="4" borderId="52" xfId="0" applyNumberFormat="1" applyFont="1" applyFill="1" applyBorder="1" applyProtection="1"/>
    <xf numFmtId="44" fontId="7" fillId="2" borderId="19" xfId="0" applyNumberFormat="1" applyFont="1" applyFill="1" applyBorder="1" applyProtection="1"/>
    <xf numFmtId="1" fontId="7" fillId="2" borderId="19" xfId="0" applyNumberFormat="1" applyFont="1" applyFill="1" applyBorder="1" applyAlignment="1" applyProtection="1">
      <alignment horizontal="center"/>
    </xf>
    <xf numFmtId="44" fontId="7" fillId="2" borderId="78" xfId="0" applyNumberFormat="1" applyFont="1" applyFill="1" applyBorder="1" applyProtection="1"/>
    <xf numFmtId="44" fontId="13" fillId="7" borderId="12" xfId="0" applyNumberFormat="1" applyFont="1" applyFill="1" applyBorder="1" applyProtection="1"/>
    <xf numFmtId="0" fontId="14" fillId="4" borderId="2" xfId="0" applyFont="1" applyFill="1" applyBorder="1" applyAlignment="1" applyProtection="1">
      <alignment horizontal="left"/>
    </xf>
    <xf numFmtId="0" fontId="0" fillId="0" borderId="0" xfId="0" applyProtection="1">
      <protection locked="0"/>
    </xf>
    <xf numFmtId="0" fontId="33" fillId="4" borderId="6" xfId="0" applyFont="1" applyFill="1" applyBorder="1" applyProtection="1">
      <protection locked="0"/>
    </xf>
    <xf numFmtId="0" fontId="0" fillId="4" borderId="0" xfId="0" applyFill="1" applyBorder="1" applyProtection="1">
      <protection locked="0"/>
    </xf>
    <xf numFmtId="0" fontId="0" fillId="4" borderId="11" xfId="0" applyFill="1" applyBorder="1" applyProtection="1">
      <protection locked="0"/>
    </xf>
    <xf numFmtId="0" fontId="0" fillId="4" borderId="6" xfId="0" applyFont="1" applyFill="1" applyBorder="1" applyProtection="1">
      <protection locked="0"/>
    </xf>
    <xf numFmtId="0" fontId="0" fillId="3" borderId="2" xfId="0" applyFont="1" applyFill="1" applyBorder="1" applyAlignment="1" applyProtection="1">
      <alignment horizontal="left"/>
      <protection locked="0"/>
    </xf>
    <xf numFmtId="1" fontId="7" fillId="3" borderId="2" xfId="0" applyNumberFormat="1" applyFont="1" applyFill="1" applyBorder="1" applyAlignment="1" applyProtection="1">
      <alignment horizontal="left"/>
      <protection locked="0"/>
    </xf>
    <xf numFmtId="0" fontId="0" fillId="4" borderId="6" xfId="0" applyFill="1" applyBorder="1" applyProtection="1">
      <protection locked="0"/>
    </xf>
    <xf numFmtId="0" fontId="0" fillId="0" borderId="7" xfId="0" applyBorder="1" applyProtection="1">
      <protection locked="0"/>
    </xf>
    <xf numFmtId="0" fontId="0" fillId="0" borderId="1" xfId="0" applyBorder="1" applyProtection="1">
      <protection locked="0"/>
    </xf>
    <xf numFmtId="0" fontId="0" fillId="0" borderId="17" xfId="0" applyBorder="1" applyProtection="1">
      <protection locked="0"/>
    </xf>
    <xf numFmtId="0" fontId="7" fillId="4" borderId="4" xfId="0" applyFont="1" applyFill="1" applyBorder="1" applyProtection="1">
      <protection locked="0"/>
    </xf>
    <xf numFmtId="0" fontId="2" fillId="0" borderId="0" xfId="0" applyFont="1" applyProtection="1">
      <protection locked="0"/>
    </xf>
    <xf numFmtId="0" fontId="0" fillId="0" borderId="0" xfId="0" applyAlignment="1" applyProtection="1">
      <alignment horizontal="right"/>
      <protection locked="0"/>
    </xf>
    <xf numFmtId="0" fontId="44" fillId="4" borderId="6" xfId="0" applyFont="1" applyFill="1" applyBorder="1" applyProtection="1">
      <protection locked="0"/>
    </xf>
    <xf numFmtId="0" fontId="7" fillId="4" borderId="0" xfId="0" applyFont="1" applyFill="1" applyBorder="1" applyProtection="1">
      <protection locked="0"/>
    </xf>
    <xf numFmtId="0" fontId="7" fillId="4" borderId="11" xfId="0" applyFont="1" applyFill="1" applyBorder="1" applyProtection="1">
      <protection locked="0"/>
    </xf>
    <xf numFmtId="0" fontId="40" fillId="0" borderId="0" xfId="3" applyFont="1" applyFill="1" applyProtection="1">
      <protection locked="0"/>
    </xf>
    <xf numFmtId="0" fontId="22" fillId="0" borderId="0" xfId="0" applyFont="1" applyAlignment="1" applyProtection="1">
      <alignment horizontal="right"/>
      <protection locked="0"/>
    </xf>
    <xf numFmtId="0" fontId="22" fillId="0" borderId="0" xfId="0" applyFont="1" applyProtection="1">
      <protection locked="0"/>
    </xf>
    <xf numFmtId="0" fontId="7" fillId="0" borderId="0" xfId="0" applyFont="1" applyBorder="1" applyProtection="1">
      <protection locked="0"/>
    </xf>
    <xf numFmtId="44" fontId="22" fillId="0" borderId="0" xfId="0" applyNumberFormat="1" applyFont="1" applyAlignment="1" applyProtection="1">
      <alignment horizontal="right"/>
      <protection locked="0"/>
    </xf>
    <xf numFmtId="0" fontId="2" fillId="4" borderId="11" xfId="0" applyFont="1" applyFill="1" applyBorder="1" applyProtection="1">
      <protection locked="0"/>
    </xf>
    <xf numFmtId="0" fontId="0" fillId="0" borderId="0" xfId="0" applyFill="1" applyProtection="1">
      <protection locked="0"/>
    </xf>
    <xf numFmtId="0" fontId="22" fillId="0" borderId="0" xfId="0" applyFont="1" applyFill="1" applyAlignment="1" applyProtection="1">
      <alignment horizontal="right"/>
      <protection locked="0"/>
    </xf>
    <xf numFmtId="0" fontId="22" fillId="0" borderId="0" xfId="0" applyFont="1" applyFill="1" applyProtection="1">
      <protection locked="0"/>
    </xf>
    <xf numFmtId="0" fontId="14" fillId="4" borderId="7" xfId="0" applyFont="1" applyFill="1" applyBorder="1" applyProtection="1">
      <protection locked="0"/>
    </xf>
    <xf numFmtId="0" fontId="7" fillId="4" borderId="1" xfId="0" applyFont="1" applyFill="1" applyBorder="1" applyProtection="1">
      <protection locked="0"/>
    </xf>
    <xf numFmtId="0" fontId="13" fillId="0" borderId="2" xfId="0" applyFont="1" applyBorder="1" applyProtection="1"/>
    <xf numFmtId="0" fontId="12" fillId="4" borderId="2" xfId="0" applyFont="1" applyFill="1" applyBorder="1" applyAlignment="1" applyProtection="1">
      <alignment horizontal="center"/>
    </xf>
    <xf numFmtId="0" fontId="13" fillId="0" borderId="14" xfId="0" applyFont="1" applyBorder="1" applyProtection="1"/>
    <xf numFmtId="0" fontId="7" fillId="4" borderId="15" xfId="0" applyFont="1" applyFill="1" applyBorder="1" applyAlignment="1" applyProtection="1">
      <alignment horizontal="center" wrapText="1"/>
    </xf>
    <xf numFmtId="0" fontId="7" fillId="4" borderId="15" xfId="0" applyFont="1" applyFill="1" applyBorder="1" applyAlignment="1" applyProtection="1">
      <alignment horizontal="center"/>
    </xf>
    <xf numFmtId="0" fontId="13" fillId="4" borderId="16" xfId="0" applyFont="1" applyFill="1" applyBorder="1" applyAlignment="1" applyProtection="1">
      <alignment horizontal="center"/>
    </xf>
    <xf numFmtId="0" fontId="17" fillId="4" borderId="15" xfId="0" applyFont="1" applyFill="1" applyBorder="1" applyAlignment="1" applyProtection="1">
      <alignment horizontal="left"/>
    </xf>
    <xf numFmtId="0" fontId="7" fillId="4" borderId="16" xfId="0" applyFont="1" applyFill="1" applyBorder="1" applyAlignment="1" applyProtection="1">
      <alignment horizontal="center"/>
    </xf>
    <xf numFmtId="2" fontId="13" fillId="2" borderId="2" xfId="0" applyNumberFormat="1" applyFont="1" applyFill="1" applyBorder="1" applyAlignment="1" applyProtection="1">
      <alignment horizontal="right" wrapText="1"/>
    </xf>
    <xf numFmtId="2" fontId="13" fillId="4" borderId="2" xfId="0" applyNumberFormat="1" applyFont="1" applyFill="1" applyBorder="1" applyAlignment="1" applyProtection="1">
      <alignment horizontal="right" wrapText="1"/>
    </xf>
    <xf numFmtId="2" fontId="13" fillId="4" borderId="2" xfId="0" applyNumberFormat="1" applyFont="1" applyFill="1" applyBorder="1" applyAlignment="1" applyProtection="1">
      <alignment horizontal="right"/>
    </xf>
    <xf numFmtId="44" fontId="12" fillId="4" borderId="2" xfId="0" applyNumberFormat="1" applyFont="1" applyFill="1" applyBorder="1" applyAlignment="1" applyProtection="1">
      <alignment horizontal="right"/>
    </xf>
    <xf numFmtId="44" fontId="13" fillId="4" borderId="8" xfId="0" applyNumberFormat="1" applyFont="1" applyFill="1" applyBorder="1" applyAlignment="1" applyProtection="1">
      <alignment horizontal="right"/>
    </xf>
    <xf numFmtId="0" fontId="7" fillId="4" borderId="2" xfId="0" applyFont="1" applyFill="1" applyBorder="1" applyAlignment="1" applyProtection="1">
      <alignment horizontal="center" vertical="top" wrapText="1"/>
    </xf>
    <xf numFmtId="0" fontId="2" fillId="0" borderId="6" xfId="0" applyFont="1" applyBorder="1" applyAlignment="1" applyProtection="1">
      <alignment horizontal="left"/>
    </xf>
    <xf numFmtId="0" fontId="7" fillId="0" borderId="0" xfId="0" applyFont="1" applyBorder="1" applyProtection="1"/>
    <xf numFmtId="0" fontId="7" fillId="2" borderId="2" xfId="0" applyFont="1" applyFill="1" applyBorder="1" applyAlignment="1" applyProtection="1">
      <alignment wrapText="1"/>
    </xf>
    <xf numFmtId="0" fontId="7" fillId="2" borderId="2" xfId="0" applyFont="1" applyFill="1" applyBorder="1" applyProtection="1"/>
    <xf numFmtId="0" fontId="7" fillId="2" borderId="12" xfId="0" applyFont="1" applyFill="1" applyBorder="1" applyAlignment="1" applyProtection="1">
      <alignment wrapText="1"/>
    </xf>
    <xf numFmtId="44" fontId="14" fillId="4" borderId="70" xfId="0" applyNumberFormat="1" applyFont="1" applyFill="1" applyBorder="1" applyProtection="1"/>
    <xf numFmtId="2" fontId="22" fillId="0" borderId="0" xfId="0" applyNumberFormat="1" applyFont="1" applyAlignment="1" applyProtection="1">
      <alignment horizontal="right"/>
    </xf>
    <xf numFmtId="0" fontId="22" fillId="0" borderId="0" xfId="0" applyFont="1" applyProtection="1"/>
    <xf numFmtId="0" fontId="22" fillId="0" borderId="0" xfId="0" applyFont="1" applyAlignment="1" applyProtection="1">
      <alignment horizontal="right"/>
    </xf>
    <xf numFmtId="0" fontId="0" fillId="4" borderId="6" xfId="0" applyFont="1" applyFill="1" applyBorder="1" applyProtection="1"/>
    <xf numFmtId="0" fontId="0" fillId="4" borderId="14" xfId="0" applyFill="1" applyBorder="1" applyAlignment="1" applyProtection="1">
      <alignment horizontal="left"/>
    </xf>
    <xf numFmtId="0" fontId="0" fillId="4" borderId="16" xfId="0" applyFill="1" applyBorder="1" applyProtection="1"/>
    <xf numFmtId="0" fontId="0" fillId="4" borderId="4" xfId="0" applyFont="1" applyFill="1" applyBorder="1" applyProtection="1">
      <protection locked="0"/>
    </xf>
    <xf numFmtId="0" fontId="0" fillId="0" borderId="0" xfId="0" applyFont="1" applyProtection="1">
      <protection locked="0"/>
    </xf>
    <xf numFmtId="0" fontId="0" fillId="4" borderId="0" xfId="0" applyFont="1" applyFill="1" applyBorder="1" applyProtection="1">
      <protection locked="0"/>
    </xf>
    <xf numFmtId="0" fontId="0" fillId="0" borderId="0" xfId="0" applyFont="1" applyBorder="1" applyProtection="1">
      <protection locked="0"/>
    </xf>
    <xf numFmtId="0" fontId="0" fillId="4" borderId="15" xfId="0" applyFont="1" applyFill="1" applyBorder="1" applyProtection="1">
      <protection locked="0"/>
    </xf>
    <xf numFmtId="0" fontId="25" fillId="4" borderId="39" xfId="0" applyFont="1" applyFill="1" applyBorder="1" applyProtection="1">
      <protection locked="0"/>
    </xf>
    <xf numFmtId="0" fontId="3" fillId="4" borderId="27" xfId="0" applyFont="1" applyFill="1" applyBorder="1" applyProtection="1">
      <protection locked="0"/>
    </xf>
    <xf numFmtId="0" fontId="3" fillId="0" borderId="32" xfId="0" applyFont="1" applyBorder="1" applyProtection="1">
      <protection locked="0"/>
    </xf>
    <xf numFmtId="0" fontId="3" fillId="0" borderId="0" xfId="0" applyFont="1" applyProtection="1">
      <protection locked="0"/>
    </xf>
    <xf numFmtId="0" fontId="25" fillId="4" borderId="20" xfId="0" applyFont="1" applyFill="1" applyBorder="1" applyProtection="1">
      <protection locked="0"/>
    </xf>
    <xf numFmtId="0" fontId="3" fillId="4" borderId="10" xfId="0" applyFont="1" applyFill="1" applyBorder="1" applyProtection="1">
      <protection locked="0"/>
    </xf>
    <xf numFmtId="0" fontId="9" fillId="0" borderId="40" xfId="0" applyFont="1" applyBorder="1" applyAlignment="1" applyProtection="1">
      <alignment horizontal="right"/>
      <protection locked="0"/>
    </xf>
    <xf numFmtId="49" fontId="0" fillId="3" borderId="2" xfId="0" applyNumberFormat="1" applyFont="1" applyFill="1" applyBorder="1" applyAlignment="1" applyProtection="1">
      <protection locked="0"/>
    </xf>
    <xf numFmtId="49" fontId="0" fillId="3" borderId="2" xfId="0" applyNumberFormat="1" applyFont="1" applyFill="1" applyBorder="1" applyProtection="1">
      <protection locked="0"/>
    </xf>
    <xf numFmtId="2" fontId="0" fillId="3" borderId="2" xfId="0" applyNumberFormat="1" applyFont="1" applyFill="1" applyBorder="1" applyProtection="1">
      <protection locked="0"/>
    </xf>
    <xf numFmtId="0" fontId="26" fillId="3" borderId="24" xfId="0" applyNumberFormat="1" applyFont="1" applyFill="1" applyBorder="1" applyProtection="1">
      <protection locked="0"/>
    </xf>
    <xf numFmtId="0" fontId="0" fillId="3" borderId="24" xfId="0" applyNumberFormat="1" applyFont="1" applyFill="1" applyBorder="1" applyProtection="1">
      <protection locked="0"/>
    </xf>
    <xf numFmtId="2" fontId="22" fillId="0" borderId="0" xfId="0" applyNumberFormat="1" applyFont="1" applyAlignment="1" applyProtection="1">
      <alignment horizontal="left"/>
      <protection locked="0"/>
    </xf>
    <xf numFmtId="0" fontId="26" fillId="4" borderId="26" xfId="0" applyFont="1" applyFill="1" applyBorder="1" applyProtection="1">
      <protection locked="0"/>
    </xf>
    <xf numFmtId="0" fontId="0" fillId="4" borderId="28" xfId="0" applyFont="1" applyFill="1" applyBorder="1" applyProtection="1">
      <protection locked="0"/>
    </xf>
    <xf numFmtId="0" fontId="0" fillId="0" borderId="28" xfId="0" applyFont="1" applyBorder="1" applyProtection="1">
      <protection locked="0"/>
    </xf>
    <xf numFmtId="0" fontId="0" fillId="4" borderId="40" xfId="0" applyFont="1" applyFill="1" applyBorder="1" applyProtection="1">
      <protection locked="0"/>
    </xf>
    <xf numFmtId="0" fontId="26" fillId="3" borderId="2" xfId="0" applyNumberFormat="1" applyFont="1" applyFill="1" applyBorder="1" applyProtection="1">
      <protection locked="0"/>
    </xf>
    <xf numFmtId="0" fontId="0" fillId="3" borderId="2" xfId="0" applyNumberFormat="1" applyFont="1" applyFill="1" applyBorder="1" applyProtection="1">
      <protection locked="0"/>
    </xf>
    <xf numFmtId="0" fontId="7" fillId="0" borderId="0" xfId="0" applyFont="1" applyProtection="1">
      <protection locked="0"/>
    </xf>
    <xf numFmtId="0" fontId="7" fillId="3" borderId="2" xfId="0" quotePrefix="1" applyNumberFormat="1" applyFont="1" applyFill="1" applyBorder="1" applyProtection="1">
      <protection locked="0"/>
    </xf>
    <xf numFmtId="0" fontId="7" fillId="3" borderId="2" xfId="0" applyNumberFormat="1" applyFont="1" applyFill="1" applyBorder="1" applyProtection="1">
      <protection locked="0"/>
    </xf>
    <xf numFmtId="2" fontId="7" fillId="3" borderId="2" xfId="0" applyNumberFormat="1" applyFont="1" applyFill="1" applyBorder="1" applyProtection="1">
      <protection locked="0"/>
    </xf>
    <xf numFmtId="0" fontId="14" fillId="3" borderId="24" xfId="0" applyNumberFormat="1" applyFont="1" applyFill="1" applyBorder="1" applyProtection="1">
      <protection locked="0"/>
    </xf>
    <xf numFmtId="0" fontId="7" fillId="3" borderId="24" xfId="0" applyNumberFormat="1" applyFont="1" applyFill="1" applyBorder="1" applyProtection="1">
      <protection locked="0"/>
    </xf>
    <xf numFmtId="2" fontId="7" fillId="3" borderId="24" xfId="0" applyNumberFormat="1" applyFont="1" applyFill="1" applyBorder="1" applyProtection="1">
      <protection locked="0"/>
    </xf>
    <xf numFmtId="0" fontId="19" fillId="0" borderId="0" xfId="0" applyFont="1" applyAlignment="1" applyProtection="1">
      <alignment horizontal="right"/>
      <protection locked="0"/>
    </xf>
    <xf numFmtId="0" fontId="21" fillId="4" borderId="26" xfId="0" applyFont="1" applyFill="1" applyBorder="1" applyProtection="1">
      <protection locked="0"/>
    </xf>
    <xf numFmtId="0" fontId="7" fillId="4" borderId="28" xfId="0" applyFont="1" applyFill="1" applyBorder="1" applyProtection="1">
      <protection locked="0"/>
    </xf>
    <xf numFmtId="0" fontId="7" fillId="0" borderId="28" xfId="0" applyFont="1" applyBorder="1" applyProtection="1">
      <protection locked="0"/>
    </xf>
    <xf numFmtId="0" fontId="7" fillId="4" borderId="40" xfId="0" applyFont="1" applyFill="1" applyBorder="1" applyProtection="1">
      <protection locked="0"/>
    </xf>
    <xf numFmtId="49" fontId="7" fillId="3" borderId="2" xfId="0" quotePrefix="1" applyNumberFormat="1" applyFont="1" applyFill="1" applyBorder="1" applyAlignment="1" applyProtection="1">
      <protection locked="0"/>
    </xf>
    <xf numFmtId="49" fontId="7" fillId="3" borderId="2" xfId="0" applyNumberFormat="1" applyFont="1" applyFill="1" applyBorder="1" applyProtection="1">
      <protection locked="0"/>
    </xf>
    <xf numFmtId="0" fontId="7" fillId="3" borderId="2" xfId="0" quotePrefix="1" applyNumberFormat="1" applyFont="1" applyFill="1" applyBorder="1" applyAlignment="1" applyProtection="1">
      <protection locked="0"/>
    </xf>
    <xf numFmtId="0" fontId="21" fillId="3" borderId="2" xfId="0" applyNumberFormat="1" applyFont="1" applyFill="1" applyBorder="1" applyProtection="1">
      <protection locked="0"/>
    </xf>
    <xf numFmtId="2" fontId="28" fillId="0" borderId="0" xfId="0" applyNumberFormat="1" applyFont="1" applyAlignment="1" applyProtection="1">
      <alignment horizontal="left"/>
      <protection locked="0"/>
    </xf>
    <xf numFmtId="0" fontId="7" fillId="4" borderId="17" xfId="0" applyFont="1" applyFill="1" applyBorder="1" applyProtection="1">
      <protection locked="0"/>
    </xf>
    <xf numFmtId="0" fontId="7" fillId="4" borderId="0" xfId="0" applyFont="1" applyFill="1" applyProtection="1">
      <protection locked="0"/>
    </xf>
    <xf numFmtId="0" fontId="35" fillId="0" borderId="0" xfId="0" applyFont="1" applyProtection="1">
      <protection locked="0"/>
    </xf>
    <xf numFmtId="44" fontId="35" fillId="0" borderId="0" xfId="0" applyNumberFormat="1" applyFont="1" applyProtection="1">
      <protection locked="0"/>
    </xf>
    <xf numFmtId="9" fontId="3" fillId="2" borderId="19" xfId="0" applyNumberFormat="1" applyFont="1" applyFill="1" applyBorder="1" applyAlignment="1" applyProtection="1">
      <alignment horizontal="center"/>
    </xf>
    <xf numFmtId="9" fontId="15" fillId="2" borderId="19" xfId="0" applyNumberFormat="1" applyFont="1" applyFill="1" applyBorder="1" applyAlignment="1" applyProtection="1">
      <alignment horizontal="center"/>
    </xf>
    <xf numFmtId="2" fontId="3" fillId="2" borderId="25" xfId="0" applyNumberFormat="1" applyFont="1" applyFill="1" applyBorder="1" applyProtection="1"/>
    <xf numFmtId="2" fontId="15" fillId="2" borderId="25" xfId="0" applyNumberFormat="1" applyFont="1" applyFill="1" applyBorder="1" applyProtection="1"/>
    <xf numFmtId="2" fontId="22" fillId="0" borderId="0" xfId="0" applyNumberFormat="1" applyFont="1" applyAlignment="1" applyProtection="1">
      <alignment horizontal="left"/>
    </xf>
    <xf numFmtId="9" fontId="15" fillId="2" borderId="25" xfId="0" applyNumberFormat="1" applyFont="1" applyFill="1" applyBorder="1" applyAlignment="1" applyProtection="1">
      <alignment horizontal="center"/>
    </xf>
    <xf numFmtId="9" fontId="3" fillId="2" borderId="25" xfId="0" applyNumberFormat="1" applyFont="1" applyFill="1" applyBorder="1" applyAlignment="1" applyProtection="1">
      <alignment horizontal="center"/>
    </xf>
    <xf numFmtId="2" fontId="14" fillId="2" borderId="19" xfId="0" applyNumberFormat="1" applyFont="1" applyFill="1" applyBorder="1" applyProtection="1"/>
    <xf numFmtId="10" fontId="14" fillId="2" borderId="30" xfId="0" applyNumberFormat="1" applyFont="1" applyFill="1" applyBorder="1" applyProtection="1"/>
    <xf numFmtId="2" fontId="14" fillId="2" borderId="25" xfId="0" applyNumberFormat="1" applyFont="1" applyFill="1" applyBorder="1" applyProtection="1"/>
    <xf numFmtId="10" fontId="15" fillId="2" borderId="30" xfId="0" applyNumberFormat="1" applyFont="1" applyFill="1" applyBorder="1" applyProtection="1"/>
    <xf numFmtId="2" fontId="14" fillId="4" borderId="30" xfId="0" applyNumberFormat="1" applyFont="1" applyFill="1" applyBorder="1" applyProtection="1"/>
    <xf numFmtId="10" fontId="7" fillId="4" borderId="30" xfId="2" applyNumberFormat="1" applyFont="1" applyFill="1" applyBorder="1" applyProtection="1"/>
    <xf numFmtId="2" fontId="7" fillId="4" borderId="5" xfId="0" applyNumberFormat="1" applyFont="1" applyFill="1" applyBorder="1" applyProtection="1"/>
    <xf numFmtId="10" fontId="7" fillId="4" borderId="5" xfId="0" applyNumberFormat="1" applyFont="1" applyFill="1" applyBorder="1" applyProtection="1"/>
    <xf numFmtId="10" fontId="14" fillId="4" borderId="2" xfId="2" applyNumberFormat="1" applyFont="1" applyFill="1" applyBorder="1" applyProtection="1"/>
    <xf numFmtId="2" fontId="7" fillId="4" borderId="8" xfId="0" applyNumberFormat="1" applyFont="1" applyFill="1" applyBorder="1" applyProtection="1"/>
    <xf numFmtId="10" fontId="7" fillId="4" borderId="8" xfId="2" applyNumberFormat="1" applyFont="1" applyFill="1" applyBorder="1" applyProtection="1"/>
    <xf numFmtId="2" fontId="13" fillId="2" borderId="5" xfId="0" applyNumberFormat="1" applyFont="1" applyFill="1" applyBorder="1" applyProtection="1"/>
    <xf numFmtId="2" fontId="14" fillId="2" borderId="8" xfId="0" applyNumberFormat="1" applyFont="1" applyFill="1" applyBorder="1" applyProtection="1"/>
    <xf numFmtId="2" fontId="14" fillId="2" borderId="5" xfId="0" applyNumberFormat="1" applyFont="1" applyFill="1" applyBorder="1" applyProtection="1"/>
    <xf numFmtId="10" fontId="7" fillId="2" borderId="5" xfId="0" applyNumberFormat="1" applyFont="1" applyFill="1" applyBorder="1" applyProtection="1"/>
    <xf numFmtId="2" fontId="13" fillId="2" borderId="76" xfId="0" applyNumberFormat="1" applyFont="1" applyFill="1" applyBorder="1" applyProtection="1"/>
    <xf numFmtId="10" fontId="44" fillId="9" borderId="23" xfId="2" applyNumberFormat="1" applyFont="1" applyFill="1" applyBorder="1" applyProtection="1"/>
    <xf numFmtId="2" fontId="35" fillId="4" borderId="0" xfId="0" applyNumberFormat="1" applyFont="1" applyFill="1" applyBorder="1" applyAlignment="1" applyProtection="1">
      <alignment horizontal="right"/>
    </xf>
    <xf numFmtId="10" fontId="37" fillId="4" borderId="2" xfId="2" applyNumberFormat="1" applyFont="1" applyFill="1" applyBorder="1" applyAlignment="1" applyProtection="1">
      <alignment horizontal="right"/>
    </xf>
    <xf numFmtId="2" fontId="35" fillId="4" borderId="1" xfId="0" applyNumberFormat="1" applyFont="1" applyFill="1" applyBorder="1" applyAlignment="1" applyProtection="1">
      <alignment horizontal="right"/>
    </xf>
    <xf numFmtId="10" fontId="35" fillId="4" borderId="1" xfId="2" applyNumberFormat="1" applyFont="1" applyFill="1" applyBorder="1" applyAlignment="1" applyProtection="1">
      <alignment horizontal="right"/>
    </xf>
    <xf numFmtId="10" fontId="35" fillId="4" borderId="4" xfId="0" applyNumberFormat="1" applyFont="1" applyFill="1" applyBorder="1" applyAlignment="1" applyProtection="1">
      <alignment horizontal="right"/>
    </xf>
    <xf numFmtId="10" fontId="35" fillId="4" borderId="0" xfId="2" applyNumberFormat="1" applyFont="1" applyFill="1" applyBorder="1" applyAlignment="1" applyProtection="1">
      <alignment horizontal="right"/>
    </xf>
    <xf numFmtId="0" fontId="35" fillId="4" borderId="0" xfId="0" applyFont="1" applyFill="1" applyBorder="1" applyAlignment="1" applyProtection="1">
      <alignment horizontal="left"/>
    </xf>
    <xf numFmtId="2" fontId="50" fillId="0" borderId="0" xfId="0" applyNumberFormat="1" applyFont="1" applyAlignment="1" applyProtection="1">
      <alignment horizontal="left"/>
    </xf>
    <xf numFmtId="0" fontId="23" fillId="4" borderId="0" xfId="0" applyFont="1" applyFill="1" applyBorder="1" applyProtection="1">
      <protection locked="0"/>
    </xf>
    <xf numFmtId="0" fontId="3" fillId="0" borderId="0" xfId="0" applyFont="1" applyAlignment="1" applyProtection="1">
      <alignment horizontal="right"/>
      <protection locked="0"/>
    </xf>
    <xf numFmtId="0" fontId="25" fillId="4" borderId="6" xfId="0" applyFont="1" applyFill="1" applyBorder="1" applyProtection="1">
      <protection locked="0"/>
    </xf>
    <xf numFmtId="0" fontId="0" fillId="4" borderId="11" xfId="0" applyFont="1" applyFill="1" applyBorder="1" applyProtection="1">
      <protection locked="0"/>
    </xf>
    <xf numFmtId="0" fontId="18" fillId="2" borderId="14" xfId="0" applyFont="1" applyFill="1" applyBorder="1" applyProtection="1">
      <protection locked="0"/>
    </xf>
    <xf numFmtId="0" fontId="0" fillId="2" borderId="15" xfId="0" applyFont="1" applyFill="1" applyBorder="1" applyProtection="1">
      <protection locked="0"/>
    </xf>
    <xf numFmtId="0" fontId="23" fillId="2" borderId="15" xfId="0" applyFont="1" applyFill="1" applyBorder="1" applyProtection="1">
      <protection locked="0"/>
    </xf>
    <xf numFmtId="0" fontId="23" fillId="2" borderId="16" xfId="0" applyFont="1" applyFill="1" applyBorder="1" applyProtection="1">
      <protection locked="0"/>
    </xf>
    <xf numFmtId="0" fontId="4" fillId="0" borderId="0" xfId="0" applyFont="1" applyAlignment="1" applyProtection="1">
      <alignment horizontal="right"/>
      <protection locked="0"/>
    </xf>
    <xf numFmtId="0" fontId="21" fillId="4" borderId="0" xfId="0" applyFont="1" applyFill="1" applyBorder="1" applyProtection="1">
      <protection locked="0"/>
    </xf>
    <xf numFmtId="0" fontId="24" fillId="4" borderId="0" xfId="0" applyFont="1" applyFill="1" applyBorder="1" applyProtection="1">
      <protection locked="0"/>
    </xf>
    <xf numFmtId="165" fontId="14" fillId="2" borderId="2" xfId="0" applyNumberFormat="1" applyFont="1" applyFill="1" applyBorder="1" applyProtection="1">
      <protection locked="0"/>
    </xf>
    <xf numFmtId="44" fontId="0" fillId="3" borderId="2" xfId="1" applyFont="1" applyFill="1" applyBorder="1" applyProtection="1">
      <protection locked="0"/>
    </xf>
    <xf numFmtId="0" fontId="22" fillId="4" borderId="11" xfId="0" applyFont="1" applyFill="1" applyBorder="1" applyProtection="1">
      <protection locked="0"/>
    </xf>
    <xf numFmtId="165" fontId="22" fillId="0" borderId="0" xfId="0" applyNumberFormat="1" applyFont="1" applyProtection="1">
      <protection locked="0"/>
    </xf>
    <xf numFmtId="44" fontId="22" fillId="0" borderId="0" xfId="1" applyFont="1" applyAlignment="1" applyProtection="1">
      <alignment horizontal="left"/>
      <protection locked="0"/>
    </xf>
    <xf numFmtId="0" fontId="21" fillId="4" borderId="6" xfId="0" applyFont="1" applyFill="1" applyBorder="1" applyAlignment="1" applyProtection="1">
      <alignment horizontal="left"/>
      <protection locked="0"/>
    </xf>
    <xf numFmtId="44" fontId="24" fillId="4" borderId="5" xfId="1" applyFont="1" applyFill="1" applyBorder="1" applyProtection="1">
      <protection locked="0"/>
    </xf>
    <xf numFmtId="44" fontId="0" fillId="4" borderId="2" xfId="1" applyFont="1" applyFill="1" applyBorder="1" applyProtection="1">
      <protection locked="0"/>
    </xf>
    <xf numFmtId="0" fontId="6" fillId="4" borderId="0" xfId="0" applyFont="1" applyFill="1" applyBorder="1" applyProtection="1">
      <protection locked="0"/>
    </xf>
    <xf numFmtId="0" fontId="21" fillId="4" borderId="7" xfId="0" applyFont="1" applyFill="1" applyBorder="1" applyAlignment="1" applyProtection="1">
      <alignment horizontal="left"/>
      <protection locked="0"/>
    </xf>
    <xf numFmtId="0" fontId="21" fillId="4" borderId="1" xfId="0" applyFont="1" applyFill="1" applyBorder="1" applyProtection="1">
      <protection locked="0"/>
    </xf>
    <xf numFmtId="0" fontId="24" fillId="4" borderId="1" xfId="0" applyFont="1" applyFill="1" applyBorder="1" applyProtection="1">
      <protection locked="0"/>
    </xf>
    <xf numFmtId="44" fontId="24" fillId="4" borderId="8" xfId="1" applyFont="1" applyFill="1" applyBorder="1" applyProtection="1">
      <protection locked="0"/>
    </xf>
    <xf numFmtId="44" fontId="22" fillId="4" borderId="11" xfId="1" applyFont="1" applyFill="1" applyBorder="1" applyAlignment="1" applyProtection="1">
      <alignment horizontal="left"/>
      <protection locked="0"/>
    </xf>
    <xf numFmtId="165" fontId="22" fillId="4" borderId="11" xfId="0" applyNumberFormat="1" applyFont="1" applyFill="1" applyBorder="1" applyProtection="1">
      <protection locked="0"/>
    </xf>
    <xf numFmtId="44" fontId="22" fillId="0" borderId="0" xfId="0" applyNumberFormat="1" applyFont="1" applyProtection="1">
      <protection locked="0"/>
    </xf>
    <xf numFmtId="0" fontId="0" fillId="0" borderId="6" xfId="0" applyFont="1" applyBorder="1" applyAlignment="1" applyProtection="1">
      <alignment horizontal="left"/>
      <protection locked="0"/>
    </xf>
    <xf numFmtId="0" fontId="23" fillId="0" borderId="0" xfId="0" applyFont="1" applyBorder="1" applyProtection="1">
      <protection locked="0"/>
    </xf>
    <xf numFmtId="44" fontId="23" fillId="0" borderId="11" xfId="1" applyFont="1" applyBorder="1" applyProtection="1">
      <protection locked="0"/>
    </xf>
    <xf numFmtId="0" fontId="29" fillId="4" borderId="11" xfId="0" applyFont="1" applyFill="1" applyBorder="1" applyProtection="1">
      <protection locked="0"/>
    </xf>
    <xf numFmtId="0" fontId="29" fillId="0" borderId="0" xfId="0" applyFont="1" applyProtection="1">
      <protection locked="0"/>
    </xf>
    <xf numFmtId="165" fontId="29" fillId="4" borderId="11" xfId="0" applyNumberFormat="1" applyFont="1" applyFill="1" applyBorder="1" applyProtection="1">
      <protection locked="0"/>
    </xf>
    <xf numFmtId="44" fontId="23" fillId="4" borderId="11" xfId="1" applyFont="1" applyFill="1" applyBorder="1" applyProtection="1">
      <protection locked="0"/>
    </xf>
    <xf numFmtId="44" fontId="23" fillId="4" borderId="0" xfId="1" applyFont="1" applyFill="1" applyBorder="1" applyProtection="1">
      <protection locked="0"/>
    </xf>
    <xf numFmtId="0" fontId="17" fillId="3" borderId="14" xfId="0" applyFont="1" applyFill="1" applyBorder="1" applyProtection="1">
      <protection locked="0"/>
    </xf>
    <xf numFmtId="0" fontId="17" fillId="4" borderId="15" xfId="0" applyFont="1" applyFill="1" applyBorder="1" applyProtection="1">
      <protection locked="0"/>
    </xf>
    <xf numFmtId="10" fontId="23" fillId="4" borderId="15" xfId="0" applyNumberFormat="1" applyFont="1" applyFill="1" applyBorder="1" applyProtection="1">
      <protection locked="0"/>
    </xf>
    <xf numFmtId="44" fontId="23" fillId="3" borderId="2" xfId="1" applyFont="1" applyFill="1" applyBorder="1" applyProtection="1">
      <protection locked="0"/>
    </xf>
    <xf numFmtId="0" fontId="23" fillId="4" borderId="15" xfId="0" applyFont="1" applyFill="1" applyBorder="1" applyProtection="1">
      <protection locked="0"/>
    </xf>
    <xf numFmtId="165" fontId="24" fillId="2" borderId="16" xfId="0" applyNumberFormat="1" applyFont="1" applyFill="1" applyBorder="1" applyProtection="1">
      <protection locked="0"/>
    </xf>
    <xf numFmtId="0" fontId="14" fillId="4" borderId="6" xfId="0" applyFont="1" applyFill="1" applyBorder="1" applyProtection="1">
      <protection locked="0"/>
    </xf>
    <xf numFmtId="0" fontId="17" fillId="4" borderId="0" xfId="0" applyFont="1" applyFill="1" applyBorder="1" applyProtection="1">
      <protection locked="0"/>
    </xf>
    <xf numFmtId="0" fontId="24" fillId="4" borderId="11" xfId="0" applyFont="1" applyFill="1" applyBorder="1" applyAlignment="1" applyProtection="1">
      <alignment horizontal="center"/>
      <protection locked="0"/>
    </xf>
    <xf numFmtId="0" fontId="20" fillId="4" borderId="11" xfId="0" applyFont="1" applyFill="1" applyBorder="1" applyProtection="1">
      <protection locked="0"/>
    </xf>
    <xf numFmtId="0" fontId="7" fillId="3" borderId="2" xfId="0" applyFont="1" applyFill="1" applyBorder="1" applyProtection="1">
      <protection locked="0"/>
    </xf>
    <xf numFmtId="44" fontId="0" fillId="3" borderId="14" xfId="1" applyFont="1" applyFill="1" applyBorder="1" applyProtection="1">
      <protection locked="0"/>
    </xf>
    <xf numFmtId="10" fontId="23" fillId="4" borderId="6" xfId="0" applyNumberFormat="1" applyFont="1" applyFill="1" applyBorder="1" applyProtection="1">
      <protection locked="0"/>
    </xf>
    <xf numFmtId="165" fontId="23" fillId="4" borderId="11" xfId="0" applyNumberFormat="1" applyFont="1" applyFill="1" applyBorder="1" applyProtection="1">
      <protection locked="0"/>
    </xf>
    <xf numFmtId="44" fontId="0" fillId="4" borderId="11" xfId="0" applyNumberFormat="1" applyFont="1" applyFill="1" applyBorder="1" applyProtection="1">
      <protection locked="0"/>
    </xf>
    <xf numFmtId="0" fontId="23" fillId="4" borderId="6" xfId="0" applyFont="1" applyFill="1" applyBorder="1" applyProtection="1">
      <protection locked="0"/>
    </xf>
    <xf numFmtId="44" fontId="0" fillId="4" borderId="0" xfId="1" applyFont="1" applyFill="1" applyBorder="1" applyProtection="1">
      <protection locked="0"/>
    </xf>
    <xf numFmtId="0" fontId="23" fillId="4" borderId="11" xfId="0" applyFont="1" applyFill="1" applyBorder="1" applyProtection="1">
      <protection locked="0"/>
    </xf>
    <xf numFmtId="0" fontId="7" fillId="3" borderId="14" xfId="0" applyFont="1" applyFill="1" applyBorder="1" applyProtection="1">
      <protection locked="0"/>
    </xf>
    <xf numFmtId="10" fontId="23" fillId="3" borderId="2" xfId="0" applyNumberFormat="1" applyFont="1" applyFill="1" applyBorder="1" applyProtection="1">
      <protection locked="0"/>
    </xf>
    <xf numFmtId="44" fontId="24" fillId="4" borderId="11" xfId="1" applyFont="1" applyFill="1" applyBorder="1" applyAlignment="1" applyProtection="1">
      <alignment horizontal="center"/>
      <protection locked="0"/>
    </xf>
    <xf numFmtId="0" fontId="17" fillId="0" borderId="6" xfId="0" applyFont="1" applyFill="1" applyBorder="1" applyProtection="1">
      <protection locked="0"/>
    </xf>
    <xf numFmtId="44" fontId="7" fillId="0" borderId="0" xfId="1" applyFont="1" applyFill="1" applyBorder="1" applyProtection="1">
      <protection locked="0"/>
    </xf>
    <xf numFmtId="10" fontId="1" fillId="0" borderId="0" xfId="0" applyNumberFormat="1" applyFont="1" applyFill="1" applyBorder="1" applyProtection="1">
      <protection locked="0"/>
    </xf>
    <xf numFmtId="44" fontId="1" fillId="0" borderId="11" xfId="1" applyFont="1" applyFill="1" applyBorder="1" applyProtection="1">
      <protection locked="0"/>
    </xf>
    <xf numFmtId="0" fontId="0" fillId="0" borderId="0" xfId="0" applyFont="1" applyFill="1" applyProtection="1">
      <protection locked="0"/>
    </xf>
    <xf numFmtId="165" fontId="0" fillId="4" borderId="0" xfId="0" applyNumberFormat="1" applyFont="1" applyFill="1" applyBorder="1" applyProtection="1">
      <protection locked="0"/>
    </xf>
    <xf numFmtId="0" fontId="0" fillId="4" borderId="1" xfId="0" applyFont="1" applyFill="1" applyBorder="1" applyProtection="1">
      <protection locked="0"/>
    </xf>
    <xf numFmtId="165" fontId="23" fillId="4" borderId="0" xfId="0" applyNumberFormat="1" applyFont="1" applyFill="1" applyBorder="1" applyProtection="1">
      <protection locked="0"/>
    </xf>
    <xf numFmtId="0" fontId="0" fillId="4" borderId="14" xfId="0" applyFont="1" applyFill="1" applyBorder="1" applyProtection="1">
      <protection locked="0"/>
    </xf>
    <xf numFmtId="44" fontId="0" fillId="4" borderId="3" xfId="1" applyFont="1" applyFill="1" applyBorder="1" applyProtection="1">
      <protection locked="0"/>
    </xf>
    <xf numFmtId="44" fontId="0" fillId="4" borderId="18" xfId="1" applyFont="1" applyFill="1" applyBorder="1" applyProtection="1">
      <protection locked="0"/>
    </xf>
    <xf numFmtId="44" fontId="0" fillId="4" borderId="6" xfId="1" applyFont="1" applyFill="1" applyBorder="1" applyProtection="1">
      <protection locked="0"/>
    </xf>
    <xf numFmtId="44" fontId="0" fillId="4" borderId="11" xfId="1" applyFont="1" applyFill="1" applyBorder="1" applyProtection="1">
      <protection locked="0"/>
    </xf>
    <xf numFmtId="44" fontId="7" fillId="4" borderId="0" xfId="1" applyFont="1" applyFill="1" applyBorder="1" applyProtection="1">
      <protection locked="0"/>
    </xf>
    <xf numFmtId="44" fontId="7" fillId="4" borderId="11" xfId="1" applyFont="1" applyFill="1" applyBorder="1" applyProtection="1">
      <protection locked="0"/>
    </xf>
    <xf numFmtId="44" fontId="7" fillId="4" borderId="7" xfId="1" applyFont="1" applyFill="1" applyBorder="1" applyProtection="1">
      <protection locked="0"/>
    </xf>
    <xf numFmtId="44" fontId="7" fillId="4" borderId="17" xfId="1" applyFont="1" applyFill="1" applyBorder="1" applyProtection="1">
      <protection locked="0"/>
    </xf>
    <xf numFmtId="0" fontId="23" fillId="0" borderId="0" xfId="0" applyFont="1" applyProtection="1">
      <protection locked="0"/>
    </xf>
    <xf numFmtId="44" fontId="14" fillId="2" borderId="2" xfId="1" applyFont="1" applyFill="1" applyBorder="1" applyProtection="1"/>
    <xf numFmtId="10" fontId="28" fillId="4" borderId="0" xfId="2" applyNumberFormat="1" applyFont="1" applyFill="1" applyBorder="1" applyAlignment="1" applyProtection="1">
      <alignment horizontal="left"/>
    </xf>
    <xf numFmtId="44" fontId="22" fillId="0" borderId="0" xfId="1" applyFont="1" applyAlignment="1" applyProtection="1">
      <alignment horizontal="left"/>
    </xf>
    <xf numFmtId="0" fontId="22" fillId="0" borderId="0" xfId="0" applyFont="1" applyFill="1" applyAlignment="1" applyProtection="1">
      <alignment horizontal="left"/>
    </xf>
    <xf numFmtId="10" fontId="7" fillId="4" borderId="2" xfId="0" applyNumberFormat="1" applyFont="1" applyFill="1" applyBorder="1" applyProtection="1"/>
    <xf numFmtId="44" fontId="0" fillId="4" borderId="2" xfId="1" applyFont="1" applyFill="1" applyBorder="1" applyProtection="1"/>
    <xf numFmtId="44" fontId="0" fillId="4" borderId="8" xfId="1" applyFont="1" applyFill="1" applyBorder="1" applyProtection="1"/>
    <xf numFmtId="10" fontId="24" fillId="2" borderId="2" xfId="2" applyNumberFormat="1" applyFont="1" applyFill="1" applyBorder="1" applyProtection="1"/>
    <xf numFmtId="44" fontId="24" fillId="2" borderId="2" xfId="1" applyFont="1" applyFill="1" applyBorder="1" applyProtection="1"/>
    <xf numFmtId="44" fontId="1" fillId="4" borderId="2" xfId="1" applyFont="1" applyFill="1" applyBorder="1" applyProtection="1"/>
    <xf numFmtId="10" fontId="24" fillId="2" borderId="15" xfId="2" applyNumberFormat="1" applyFont="1" applyFill="1" applyBorder="1" applyProtection="1"/>
    <xf numFmtId="10" fontId="17" fillId="4" borderId="5" xfId="0" applyNumberFormat="1" applyFont="1" applyFill="1" applyBorder="1" applyProtection="1"/>
    <xf numFmtId="44" fontId="23" fillId="4" borderId="5" xfId="1" applyFont="1" applyFill="1" applyBorder="1" applyProtection="1"/>
    <xf numFmtId="10" fontId="7" fillId="2" borderId="2" xfId="2" applyNumberFormat="1" applyFont="1" applyFill="1" applyBorder="1" applyProtection="1"/>
    <xf numFmtId="44" fontId="23" fillId="4" borderId="2" xfId="1" applyFont="1" applyFill="1" applyBorder="1" applyProtection="1"/>
    <xf numFmtId="10" fontId="23" fillId="4" borderId="2" xfId="2" applyNumberFormat="1" applyFont="1" applyFill="1" applyBorder="1" applyProtection="1"/>
    <xf numFmtId="44" fontId="7" fillId="2" borderId="15" xfId="1" applyFont="1" applyFill="1" applyBorder="1" applyProtection="1"/>
    <xf numFmtId="44" fontId="0" fillId="0" borderId="14" xfId="1" applyFont="1" applyFill="1" applyBorder="1" applyProtection="1"/>
    <xf numFmtId="10" fontId="23" fillId="0" borderId="2" xfId="0" applyNumberFormat="1" applyFont="1" applyFill="1" applyBorder="1" applyProtection="1"/>
    <xf numFmtId="10" fontId="23" fillId="2" borderId="2" xfId="0" applyNumberFormat="1" applyFont="1" applyFill="1" applyBorder="1" applyProtection="1"/>
    <xf numFmtId="44" fontId="23" fillId="0" borderId="2" xfId="1" applyFont="1" applyFill="1" applyBorder="1" applyProtection="1"/>
    <xf numFmtId="44" fontId="23" fillId="2" borderId="2" xfId="1" applyFont="1" applyFill="1" applyBorder="1" applyProtection="1"/>
    <xf numFmtId="44" fontId="0" fillId="0" borderId="2" xfId="1" applyFont="1" applyFill="1" applyBorder="1" applyProtection="1"/>
    <xf numFmtId="44" fontId="1" fillId="0" borderId="2" xfId="1" applyFont="1" applyFill="1" applyBorder="1" applyProtection="1"/>
    <xf numFmtId="44" fontId="1" fillId="2" borderId="2" xfId="1" applyFont="1" applyFill="1" applyBorder="1" applyProtection="1"/>
    <xf numFmtId="44" fontId="14" fillId="2" borderId="15" xfId="1" applyFont="1" applyFill="1" applyBorder="1" applyProtection="1"/>
    <xf numFmtId="165" fontId="14" fillId="2" borderId="2" xfId="0" applyNumberFormat="1" applyFont="1" applyFill="1" applyBorder="1" applyProtection="1"/>
    <xf numFmtId="0" fontId="0" fillId="4" borderId="2" xfId="0" applyFont="1" applyFill="1" applyBorder="1" applyProtection="1"/>
    <xf numFmtId="0" fontId="0" fillId="4" borderId="13" xfId="0" applyFont="1" applyFill="1" applyBorder="1" applyProtection="1"/>
    <xf numFmtId="3" fontId="25" fillId="4" borderId="72" xfId="0" applyNumberFormat="1" applyFont="1" applyFill="1" applyBorder="1" applyProtection="1"/>
    <xf numFmtId="10" fontId="13" fillId="10" borderId="23" xfId="2" applyNumberFormat="1" applyFont="1" applyFill="1" applyBorder="1" applyAlignment="1" applyProtection="1">
      <alignment horizontal="center"/>
    </xf>
    <xf numFmtId="44" fontId="0" fillId="0" borderId="2" xfId="1" applyFont="1" applyBorder="1" applyProtection="1"/>
    <xf numFmtId="44" fontId="0" fillId="0" borderId="13" xfId="1" applyFont="1" applyBorder="1" applyProtection="1"/>
    <xf numFmtId="44" fontId="13" fillId="11" borderId="23" xfId="1" applyFont="1" applyFill="1" applyBorder="1" applyProtection="1"/>
    <xf numFmtId="44" fontId="7" fillId="2" borderId="8" xfId="1" applyFont="1" applyFill="1" applyBorder="1" applyProtection="1"/>
    <xf numFmtId="44" fontId="13" fillId="2" borderId="2" xfId="1" applyFont="1" applyFill="1" applyBorder="1" applyProtection="1"/>
    <xf numFmtId="44" fontId="0" fillId="4" borderId="17" xfId="1" applyFont="1" applyFill="1" applyBorder="1" applyProtection="1"/>
    <xf numFmtId="44" fontId="4" fillId="2" borderId="16" xfId="1" applyFont="1" applyFill="1" applyBorder="1" applyProtection="1"/>
    <xf numFmtId="0" fontId="0" fillId="4" borderId="15" xfId="0" applyFont="1" applyFill="1" applyBorder="1" applyProtection="1"/>
    <xf numFmtId="2" fontId="0" fillId="0" borderId="8" xfId="0" applyNumberFormat="1" applyFont="1" applyBorder="1" applyProtection="1"/>
    <xf numFmtId="2" fontId="27" fillId="4" borderId="8" xfId="0" applyNumberFormat="1" applyFont="1" applyFill="1" applyBorder="1" applyProtection="1"/>
    <xf numFmtId="2" fontId="0" fillId="0" borderId="2" xfId="0" applyNumberFormat="1" applyFont="1" applyBorder="1" applyProtection="1"/>
    <xf numFmtId="2" fontId="27" fillId="4" borderId="2" xfId="0" applyNumberFormat="1" applyFont="1" applyFill="1" applyBorder="1" applyProtection="1"/>
    <xf numFmtId="2" fontId="0" fillId="0" borderId="24" xfId="0" applyNumberFormat="1" applyFont="1" applyBorder="1" applyProtection="1"/>
    <xf numFmtId="2" fontId="27" fillId="4" borderId="24" xfId="0" applyNumberFormat="1" applyFont="1" applyFill="1" applyBorder="1" applyProtection="1"/>
    <xf numFmtId="2" fontId="27" fillId="0" borderId="8" xfId="0" applyNumberFormat="1" applyFont="1" applyBorder="1" applyProtection="1"/>
    <xf numFmtId="2" fontId="0" fillId="4" borderId="8" xfId="0" applyNumberFormat="1" applyFont="1" applyFill="1" applyBorder="1" applyProtection="1"/>
    <xf numFmtId="2" fontId="7" fillId="0" borderId="8" xfId="0" applyNumberFormat="1" applyFont="1" applyBorder="1" applyProtection="1"/>
    <xf numFmtId="2" fontId="7" fillId="0" borderId="24" xfId="0" applyNumberFormat="1" applyFont="1" applyBorder="1" applyProtection="1"/>
    <xf numFmtId="2" fontId="7" fillId="4" borderId="24" xfId="0" applyNumberFormat="1" applyFont="1" applyFill="1" applyBorder="1" applyProtection="1"/>
    <xf numFmtId="0" fontId="9" fillId="0" borderId="0" xfId="0" applyFont="1" applyAlignment="1" applyProtection="1">
      <alignment horizontal="left"/>
      <protection locked="0"/>
    </xf>
    <xf numFmtId="0" fontId="38" fillId="3" borderId="14" xfId="0" applyFont="1" applyFill="1" applyBorder="1" applyProtection="1">
      <protection locked="0"/>
    </xf>
    <xf numFmtId="0" fontId="0" fillId="3" borderId="15" xfId="0" applyFont="1" applyFill="1" applyBorder="1" applyProtection="1">
      <protection locked="0"/>
    </xf>
    <xf numFmtId="166" fontId="0" fillId="3" borderId="14" xfId="1" applyNumberFormat="1" applyFont="1" applyFill="1" applyBorder="1" applyProtection="1">
      <protection locked="0"/>
    </xf>
    <xf numFmtId="166" fontId="0" fillId="3" borderId="2" xfId="1" applyNumberFormat="1" applyFont="1" applyFill="1" applyBorder="1" applyProtection="1">
      <protection locked="0"/>
    </xf>
    <xf numFmtId="166" fontId="0" fillId="3" borderId="16" xfId="1" applyNumberFormat="1" applyFont="1" applyFill="1" applyBorder="1" applyProtection="1">
      <protection locked="0"/>
    </xf>
    <xf numFmtId="166" fontId="1" fillId="3" borderId="2" xfId="1" applyNumberFormat="1" applyFont="1" applyFill="1" applyBorder="1" applyProtection="1">
      <protection locked="0"/>
    </xf>
    <xf numFmtId="0" fontId="38" fillId="3" borderId="22" xfId="0" applyFont="1" applyFill="1" applyBorder="1" applyProtection="1">
      <protection locked="0"/>
    </xf>
    <xf numFmtId="0" fontId="0" fillId="3" borderId="21" xfId="0" applyFont="1" applyFill="1" applyBorder="1" applyProtection="1">
      <protection locked="0"/>
    </xf>
    <xf numFmtId="166" fontId="0" fillId="3" borderId="22" xfId="1" applyNumberFormat="1" applyFont="1" applyFill="1" applyBorder="1" applyProtection="1">
      <protection locked="0"/>
    </xf>
    <xf numFmtId="166" fontId="0" fillId="3" borderId="12" xfId="1" applyNumberFormat="1" applyFont="1" applyFill="1" applyBorder="1" applyProtection="1">
      <protection locked="0"/>
    </xf>
    <xf numFmtId="166" fontId="0" fillId="3" borderId="51" xfId="1" applyNumberFormat="1" applyFont="1" applyFill="1" applyBorder="1" applyProtection="1">
      <protection locked="0"/>
    </xf>
    <xf numFmtId="0" fontId="38" fillId="3" borderId="3" xfId="0" applyFont="1" applyFill="1" applyBorder="1" applyProtection="1">
      <protection locked="0"/>
    </xf>
    <xf numFmtId="0" fontId="0" fillId="3" borderId="4" xfId="0" applyFont="1" applyFill="1" applyBorder="1" applyProtection="1">
      <protection locked="0"/>
    </xf>
    <xf numFmtId="166" fontId="0" fillId="3" borderId="3" xfId="1" applyNumberFormat="1" applyFont="1" applyFill="1" applyBorder="1" applyProtection="1">
      <protection locked="0"/>
    </xf>
    <xf numFmtId="166" fontId="0" fillId="3" borderId="13" xfId="1" applyNumberFormat="1" applyFont="1" applyFill="1" applyBorder="1" applyProtection="1">
      <protection locked="0"/>
    </xf>
    <xf numFmtId="166" fontId="0" fillId="3" borderId="18" xfId="1" applyNumberFormat="1" applyFont="1" applyFill="1" applyBorder="1" applyProtection="1">
      <protection locked="0"/>
    </xf>
    <xf numFmtId="3" fontId="0" fillId="3" borderId="2" xfId="0" applyNumberFormat="1" applyFont="1" applyFill="1" applyBorder="1" applyProtection="1">
      <protection locked="0"/>
    </xf>
    <xf numFmtId="0" fontId="7" fillId="0" borderId="0" xfId="0" applyFont="1" applyAlignment="1" applyProtection="1">
      <alignment horizontal="right"/>
      <protection locked="0"/>
    </xf>
    <xf numFmtId="0" fontId="14" fillId="4" borderId="4" xfId="0" applyFont="1" applyFill="1" applyBorder="1" applyProtection="1">
      <protection locked="0"/>
    </xf>
    <xf numFmtId="3" fontId="0" fillId="4" borderId="4" xfId="0" applyNumberFormat="1" applyFont="1" applyFill="1" applyBorder="1" applyProtection="1">
      <protection locked="0"/>
    </xf>
    <xf numFmtId="0" fontId="29" fillId="4" borderId="0" xfId="0" applyFont="1" applyFill="1" applyBorder="1" applyProtection="1">
      <protection locked="0"/>
    </xf>
    <xf numFmtId="10" fontId="0" fillId="4" borderId="0" xfId="2" applyNumberFormat="1" applyFont="1" applyFill="1" applyBorder="1" applyProtection="1">
      <protection locked="0"/>
    </xf>
    <xf numFmtId="0" fontId="0" fillId="4" borderId="17" xfId="0" applyFont="1" applyFill="1" applyBorder="1" applyProtection="1">
      <protection locked="0"/>
    </xf>
    <xf numFmtId="0" fontId="7" fillId="4" borderId="3" xfId="0" applyFont="1" applyFill="1" applyBorder="1" applyAlignment="1" applyProtection="1">
      <alignment horizontal="left"/>
    </xf>
    <xf numFmtId="166" fontId="0" fillId="4" borderId="16" xfId="1" applyNumberFormat="1" applyFont="1" applyFill="1" applyBorder="1" applyProtection="1"/>
    <xf numFmtId="166" fontId="3" fillId="2" borderId="52" xfId="1" applyNumberFormat="1" applyFont="1" applyFill="1" applyBorder="1" applyProtection="1"/>
    <xf numFmtId="166" fontId="3" fillId="2" borderId="53" xfId="1" applyNumberFormat="1" applyFont="1" applyFill="1" applyBorder="1" applyProtection="1"/>
    <xf numFmtId="166" fontId="3" fillId="2" borderId="26" xfId="1" applyNumberFormat="1" applyFont="1" applyFill="1" applyBorder="1" applyProtection="1"/>
    <xf numFmtId="166" fontId="3" fillId="2" borderId="25" xfId="1" applyNumberFormat="1" applyFont="1" applyFill="1" applyBorder="1" applyProtection="1"/>
    <xf numFmtId="166" fontId="0" fillId="4" borderId="12" xfId="1" applyNumberFormat="1" applyFont="1" applyFill="1" applyBorder="1" applyProtection="1"/>
    <xf numFmtId="10" fontId="0" fillId="4" borderId="2" xfId="2" applyNumberFormat="1" applyFont="1" applyFill="1" applyBorder="1" applyProtection="1"/>
    <xf numFmtId="10" fontId="3" fillId="4" borderId="2" xfId="2" applyNumberFormat="1" applyFont="1" applyFill="1" applyBorder="1" applyProtection="1"/>
    <xf numFmtId="3" fontId="0" fillId="4" borderId="13" xfId="0" applyNumberFormat="1" applyFont="1" applyFill="1" applyBorder="1" applyProtection="1"/>
    <xf numFmtId="0" fontId="0" fillId="4" borderId="18" xfId="0" applyFont="1" applyFill="1" applyBorder="1" applyAlignment="1" applyProtection="1">
      <alignment horizontal="right"/>
    </xf>
    <xf numFmtId="44" fontId="3" fillId="2" borderId="2" xfId="1" applyFont="1" applyFill="1" applyBorder="1" applyProtection="1"/>
    <xf numFmtId="10" fontId="0" fillId="4" borderId="2" xfId="0" applyNumberFormat="1" applyFont="1" applyFill="1" applyBorder="1" applyProtection="1"/>
    <xf numFmtId="3" fontId="25" fillId="4" borderId="12" xfId="0" applyNumberFormat="1" applyFont="1" applyFill="1" applyBorder="1" applyProtection="1"/>
    <xf numFmtId="10" fontId="14" fillId="4" borderId="8" xfId="2" applyNumberFormat="1" applyFont="1" applyFill="1" applyBorder="1" applyAlignment="1" applyProtection="1">
      <alignment horizontal="center"/>
    </xf>
    <xf numFmtId="44" fontId="0" fillId="0" borderId="8" xfId="1" applyFont="1" applyBorder="1" applyProtection="1"/>
    <xf numFmtId="44" fontId="7" fillId="2" borderId="2" xfId="1" applyFont="1" applyFill="1" applyBorder="1" applyProtection="1"/>
    <xf numFmtId="0" fontId="17" fillId="0" borderId="0" xfId="3" applyFont="1" applyFill="1" applyProtection="1">
      <protection locked="0"/>
    </xf>
    <xf numFmtId="0" fontId="17" fillId="4" borderId="0" xfId="3" applyFont="1" applyFill="1" applyBorder="1" applyProtection="1">
      <protection locked="0"/>
    </xf>
    <xf numFmtId="0" fontId="18" fillId="4" borderId="6" xfId="0" applyFont="1" applyFill="1" applyBorder="1" applyProtection="1">
      <protection locked="0"/>
    </xf>
    <xf numFmtId="0" fontId="17" fillId="4" borderId="11" xfId="3" applyFont="1" applyFill="1" applyBorder="1" applyProtection="1">
      <protection locked="0"/>
    </xf>
    <xf numFmtId="0" fontId="0" fillId="3" borderId="7" xfId="0" applyFont="1" applyFill="1" applyBorder="1" applyAlignment="1" applyProtection="1">
      <alignment vertical="center"/>
      <protection locked="0"/>
    </xf>
    <xf numFmtId="167" fontId="7" fillId="3" borderId="17" xfId="3" applyNumberFormat="1" applyFont="1" applyFill="1" applyBorder="1" applyProtection="1">
      <protection locked="0"/>
    </xf>
    <xf numFmtId="44" fontId="7" fillId="3" borderId="8" xfId="1" applyFont="1" applyFill="1" applyBorder="1" applyProtection="1">
      <protection locked="0"/>
    </xf>
    <xf numFmtId="0" fontId="0" fillId="3" borderId="14" xfId="0" applyFont="1" applyFill="1" applyBorder="1" applyAlignment="1" applyProtection="1">
      <alignment vertical="center"/>
      <protection locked="0"/>
    </xf>
    <xf numFmtId="167" fontId="0" fillId="3" borderId="16" xfId="3" applyNumberFormat="1" applyFont="1" applyFill="1" applyBorder="1" applyProtection="1">
      <protection locked="0"/>
    </xf>
    <xf numFmtId="0" fontId="7" fillId="3" borderId="14" xfId="0" applyFont="1" applyFill="1" applyBorder="1" applyAlignment="1" applyProtection="1">
      <alignment vertical="center"/>
      <protection locked="0"/>
    </xf>
    <xf numFmtId="167" fontId="7" fillId="3" borderId="16" xfId="3" applyNumberFormat="1" applyFont="1" applyFill="1" applyBorder="1" applyProtection="1">
      <protection locked="0"/>
    </xf>
    <xf numFmtId="44" fontId="7" fillId="3" borderId="2" xfId="1" applyFont="1" applyFill="1" applyBorder="1" applyProtection="1">
      <protection locked="0"/>
    </xf>
    <xf numFmtId="0" fontId="7" fillId="3" borderId="14" xfId="0" applyFont="1" applyFill="1" applyBorder="1" applyAlignment="1" applyProtection="1">
      <alignment vertical="center" wrapText="1"/>
      <protection locked="0"/>
    </xf>
    <xf numFmtId="167" fontId="7" fillId="3" borderId="14" xfId="3" applyNumberFormat="1" applyFont="1" applyFill="1" applyBorder="1" applyProtection="1">
      <protection locked="0"/>
    </xf>
    <xf numFmtId="167" fontId="7" fillId="3" borderId="39" xfId="3" applyNumberFormat="1" applyFont="1" applyFill="1" applyBorder="1" applyProtection="1">
      <protection locked="0"/>
    </xf>
    <xf numFmtId="167" fontId="7" fillId="3" borderId="32" xfId="3" applyNumberFormat="1" applyFont="1" applyFill="1" applyBorder="1" applyProtection="1">
      <protection locked="0"/>
    </xf>
    <xf numFmtId="44" fontId="7" fillId="3" borderId="24" xfId="1" applyFont="1" applyFill="1" applyBorder="1" applyProtection="1">
      <protection locked="0"/>
    </xf>
    <xf numFmtId="168" fontId="19" fillId="0" borderId="0" xfId="3" applyNumberFormat="1" applyFont="1" applyFill="1" applyProtection="1">
      <protection locked="0"/>
    </xf>
    <xf numFmtId="44" fontId="0" fillId="0" borderId="6" xfId="1" applyFont="1" applyFill="1" applyBorder="1" applyProtection="1">
      <protection locked="0"/>
    </xf>
    <xf numFmtId="44" fontId="1" fillId="0" borderId="0" xfId="1" applyFont="1" applyFill="1" applyBorder="1" applyProtection="1">
      <protection locked="0"/>
    </xf>
    <xf numFmtId="44" fontId="7" fillId="4" borderId="7" xfId="1" applyFont="1" applyFill="1" applyBorder="1" applyProtection="1"/>
    <xf numFmtId="44" fontId="42" fillId="4" borderId="58" xfId="1" applyFont="1" applyFill="1" applyBorder="1" applyProtection="1"/>
    <xf numFmtId="44" fontId="7" fillId="4" borderId="2" xfId="1" applyFont="1" applyFill="1" applyBorder="1" applyProtection="1"/>
    <xf numFmtId="44" fontId="0" fillId="4" borderId="14" xfId="1" applyFont="1" applyFill="1" applyBorder="1" applyProtection="1"/>
    <xf numFmtId="44" fontId="7" fillId="4" borderId="14" xfId="1" applyFont="1" applyFill="1" applyBorder="1" applyProtection="1"/>
    <xf numFmtId="44" fontId="7" fillId="4" borderId="39" xfId="1" applyFont="1" applyFill="1" applyBorder="1" applyProtection="1"/>
    <xf numFmtId="44" fontId="42" fillId="4" borderId="59" xfId="1" applyFont="1" applyFill="1" applyBorder="1" applyProtection="1"/>
    <xf numFmtId="44" fontId="7" fillId="4" borderId="24" xfId="1" applyFont="1" applyFill="1" applyBorder="1" applyProtection="1"/>
    <xf numFmtId="10" fontId="14" fillId="4" borderId="39" xfId="2" applyNumberFormat="1" applyFont="1" applyFill="1" applyBorder="1" applyAlignment="1" applyProtection="1">
      <alignment horizontal="center"/>
    </xf>
    <xf numFmtId="10" fontId="14" fillId="4" borderId="24" xfId="2" applyNumberFormat="1" applyFont="1" applyFill="1" applyBorder="1" applyAlignment="1" applyProtection="1">
      <alignment horizontal="center"/>
    </xf>
    <xf numFmtId="44" fontId="14" fillId="2" borderId="8" xfId="1" applyFont="1" applyFill="1" applyBorder="1" applyProtection="1"/>
    <xf numFmtId="10" fontId="0" fillId="4" borderId="13" xfId="0" applyNumberFormat="1" applyFont="1" applyFill="1" applyBorder="1" applyProtection="1"/>
    <xf numFmtId="0" fontId="19" fillId="0" borderId="0" xfId="3" applyFont="1" applyFill="1" applyProtection="1"/>
    <xf numFmtId="0" fontId="0" fillId="4" borderId="14" xfId="0" applyFont="1" applyFill="1" applyBorder="1" applyAlignment="1" applyProtection="1">
      <alignment horizontal="left"/>
    </xf>
    <xf numFmtId="0" fontId="0" fillId="0" borderId="0" xfId="0" applyAlignment="1" applyProtection="1">
      <protection locked="0"/>
    </xf>
    <xf numFmtId="0" fontId="14" fillId="3" borderId="14" xfId="0" applyFont="1" applyFill="1" applyBorder="1" applyAlignment="1" applyProtection="1">
      <alignment vertical="center"/>
      <protection locked="0"/>
    </xf>
    <xf numFmtId="44" fontId="17" fillId="0" borderId="0" xfId="1" applyFont="1" applyFill="1" applyProtection="1">
      <protection locked="0"/>
    </xf>
    <xf numFmtId="167" fontId="37" fillId="3" borderId="16" xfId="3" applyNumberFormat="1" applyFont="1" applyFill="1" applyBorder="1" applyProtection="1">
      <protection locked="0"/>
    </xf>
    <xf numFmtId="10" fontId="15" fillId="4" borderId="24" xfId="2" applyNumberFormat="1" applyFont="1" applyFill="1" applyBorder="1" applyAlignment="1" applyProtection="1">
      <alignment horizontal="center"/>
    </xf>
    <xf numFmtId="44" fontId="27" fillId="4" borderId="2" xfId="1" applyFont="1" applyFill="1" applyBorder="1" applyProtection="1"/>
    <xf numFmtId="44" fontId="15" fillId="2" borderId="2" xfId="1" applyFont="1" applyFill="1" applyBorder="1" applyProtection="1"/>
    <xf numFmtId="10" fontId="7" fillId="4" borderId="2" xfId="1" applyNumberFormat="1" applyFont="1" applyFill="1" applyBorder="1" applyProtection="1"/>
    <xf numFmtId="10" fontId="1" fillId="4" borderId="2" xfId="3" applyNumberFormat="1" applyFont="1" applyFill="1" applyBorder="1" applyProtection="1"/>
    <xf numFmtId="44" fontId="15" fillId="2" borderId="8" xfId="1" applyFont="1" applyFill="1" applyBorder="1" applyProtection="1"/>
    <xf numFmtId="44" fontId="48" fillId="2" borderId="2" xfId="1" applyFont="1" applyFill="1" applyBorder="1" applyProtection="1"/>
    <xf numFmtId="0" fontId="9" fillId="0" borderId="0" xfId="0" applyFont="1" applyProtection="1"/>
    <xf numFmtId="0" fontId="53" fillId="4" borderId="0" xfId="0" applyFont="1" applyFill="1" applyBorder="1" applyProtection="1"/>
    <xf numFmtId="0" fontId="2" fillId="4" borderId="11" xfId="0" applyFont="1" applyFill="1" applyBorder="1" applyAlignment="1" applyProtection="1">
      <alignment horizontal="right"/>
    </xf>
    <xf numFmtId="0" fontId="20" fillId="4" borderId="6" xfId="0" applyFont="1" applyFill="1" applyBorder="1" applyProtection="1">
      <protection locked="0"/>
    </xf>
    <xf numFmtId="0" fontId="20" fillId="4" borderId="0" xfId="0" applyFont="1" applyFill="1" applyBorder="1" applyProtection="1">
      <protection locked="0"/>
    </xf>
    <xf numFmtId="44" fontId="7" fillId="3" borderId="12" xfId="0" applyNumberFormat="1" applyFont="1" applyFill="1" applyBorder="1" applyProtection="1">
      <protection locked="0"/>
    </xf>
    <xf numFmtId="9" fontId="7" fillId="4" borderId="4" xfId="2" applyFont="1" applyFill="1" applyBorder="1" applyProtection="1">
      <protection locked="0"/>
    </xf>
    <xf numFmtId="0" fontId="7" fillId="4" borderId="13" xfId="0" applyFont="1" applyFill="1" applyBorder="1" applyProtection="1">
      <protection locked="0"/>
    </xf>
    <xf numFmtId="170" fontId="7" fillId="4" borderId="5" xfId="1" applyNumberFormat="1" applyFont="1" applyFill="1" applyBorder="1" applyProtection="1">
      <protection locked="0"/>
    </xf>
    <xf numFmtId="0" fontId="7" fillId="4" borderId="8" xfId="0" applyFont="1" applyFill="1" applyBorder="1" applyProtection="1">
      <protection locked="0"/>
    </xf>
    <xf numFmtId="170" fontId="7" fillId="4" borderId="8" xfId="1" applyNumberFormat="1" applyFont="1" applyFill="1" applyBorder="1" applyProtection="1">
      <protection locked="0"/>
    </xf>
    <xf numFmtId="10" fontId="7" fillId="3" borderId="2" xfId="2" applyNumberFormat="1" applyFont="1" applyFill="1" applyBorder="1" applyProtection="1">
      <protection locked="0"/>
    </xf>
    <xf numFmtId="44" fontId="0" fillId="0" borderId="0" xfId="0" applyNumberFormat="1" applyFont="1" applyProtection="1">
      <protection locked="0"/>
    </xf>
    <xf numFmtId="44" fontId="0" fillId="0" borderId="0" xfId="1" applyFont="1" applyProtection="1">
      <protection locked="0"/>
    </xf>
    <xf numFmtId="44" fontId="3" fillId="2" borderId="8" xfId="1" applyFont="1" applyFill="1" applyBorder="1" applyProtection="1"/>
    <xf numFmtId="44" fontId="3" fillId="2" borderId="17" xfId="1" applyFont="1" applyFill="1" applyBorder="1" applyProtection="1"/>
    <xf numFmtId="10" fontId="19" fillId="4" borderId="5" xfId="2" applyNumberFormat="1" applyFont="1" applyFill="1" applyBorder="1" applyAlignment="1" applyProtection="1">
      <alignment vertical="top"/>
    </xf>
    <xf numFmtId="10" fontId="7" fillId="2" borderId="15" xfId="0" applyNumberFormat="1" applyFont="1" applyFill="1" applyBorder="1" applyProtection="1"/>
    <xf numFmtId="44" fontId="7" fillId="4" borderId="5" xfId="0" applyNumberFormat="1" applyFont="1" applyFill="1" applyBorder="1" applyProtection="1"/>
    <xf numFmtId="10" fontId="7" fillId="4" borderId="2" xfId="2" applyNumberFormat="1" applyFont="1" applyFill="1" applyBorder="1" applyAlignment="1" applyProtection="1">
      <alignment horizontal="right"/>
    </xf>
    <xf numFmtId="44" fontId="7" fillId="0" borderId="2" xfId="0" applyNumberFormat="1" applyFont="1" applyFill="1" applyBorder="1" applyProtection="1"/>
    <xf numFmtId="44" fontId="7" fillId="0" borderId="5" xfId="1" applyFont="1" applyFill="1" applyBorder="1" applyProtection="1"/>
    <xf numFmtId="170" fontId="7" fillId="4" borderId="5" xfId="1" applyNumberFormat="1" applyFont="1" applyFill="1" applyBorder="1" applyProtection="1"/>
    <xf numFmtId="170" fontId="7" fillId="4" borderId="2" xfId="1" applyNumberFormat="1" applyFont="1" applyFill="1" applyBorder="1" applyProtection="1"/>
    <xf numFmtId="170" fontId="3" fillId="2" borderId="2" xfId="1" applyNumberFormat="1" applyFont="1" applyFill="1" applyBorder="1" applyProtection="1"/>
    <xf numFmtId="44" fontId="0" fillId="2" borderId="2" xfId="1" applyFont="1" applyFill="1" applyBorder="1" applyProtection="1"/>
    <xf numFmtId="10" fontId="0" fillId="2" borderId="15" xfId="0" applyNumberFormat="1" applyFont="1" applyFill="1" applyBorder="1" applyProtection="1"/>
    <xf numFmtId="0" fontId="0" fillId="4" borderId="5" xfId="0" applyFont="1" applyFill="1" applyBorder="1" applyProtection="1"/>
    <xf numFmtId="44" fontId="4" fillId="2" borderId="2" xfId="1" applyFont="1" applyFill="1" applyBorder="1" applyProtection="1"/>
    <xf numFmtId="0" fontId="8" fillId="4" borderId="6" xfId="0" applyFont="1" applyFill="1" applyBorder="1" applyProtection="1">
      <protection locked="0"/>
    </xf>
    <xf numFmtId="0" fontId="8" fillId="4" borderId="0" xfId="0" applyFont="1" applyFill="1" applyBorder="1" applyProtection="1">
      <protection locked="0"/>
    </xf>
    <xf numFmtId="44" fontId="3" fillId="4" borderId="35" xfId="1" applyFont="1" applyFill="1" applyBorder="1" applyProtection="1">
      <protection locked="0"/>
    </xf>
    <xf numFmtId="44" fontId="0" fillId="4" borderId="35" xfId="1" applyFont="1" applyFill="1" applyBorder="1" applyProtection="1">
      <protection locked="0"/>
    </xf>
    <xf numFmtId="44" fontId="0" fillId="4" borderId="42" xfId="1" applyFont="1" applyFill="1" applyBorder="1" applyProtection="1">
      <protection locked="0"/>
    </xf>
    <xf numFmtId="44" fontId="3" fillId="3" borderId="31" xfId="1" applyFont="1" applyFill="1" applyBorder="1" applyProtection="1">
      <protection locked="0"/>
    </xf>
    <xf numFmtId="44" fontId="0" fillId="0" borderId="0" xfId="0" applyNumberFormat="1" applyProtection="1">
      <protection locked="0"/>
    </xf>
    <xf numFmtId="0" fontId="0" fillId="0" borderId="0" xfId="0" applyBorder="1" applyProtection="1">
      <protection locked="0"/>
    </xf>
    <xf numFmtId="0" fontId="0" fillId="4" borderId="0" xfId="0" applyFill="1" applyProtection="1">
      <protection locked="0"/>
    </xf>
    <xf numFmtId="0" fontId="9" fillId="4" borderId="6" xfId="0" applyFont="1" applyFill="1" applyBorder="1" applyProtection="1"/>
    <xf numFmtId="44" fontId="4" fillId="4" borderId="34" xfId="1" applyFont="1" applyFill="1" applyBorder="1" applyProtection="1"/>
    <xf numFmtId="44" fontId="4" fillId="4" borderId="41" xfId="1" applyFont="1" applyFill="1" applyBorder="1" applyProtection="1"/>
    <xf numFmtId="44" fontId="13" fillId="2" borderId="38" xfId="1" applyFont="1" applyFill="1" applyBorder="1" applyProtection="1"/>
    <xf numFmtId="44" fontId="14" fillId="5" borderId="35" xfId="1" applyFont="1" applyFill="1" applyBorder="1" applyAlignment="1" applyProtection="1">
      <alignment horizontal="right"/>
    </xf>
    <xf numFmtId="44" fontId="14" fillId="5" borderId="42" xfId="1" applyFont="1" applyFill="1" applyBorder="1" applyAlignment="1" applyProtection="1">
      <alignment horizontal="right"/>
    </xf>
    <xf numFmtId="44" fontId="3" fillId="5" borderId="35" xfId="1" applyFont="1" applyFill="1" applyBorder="1" applyAlignment="1" applyProtection="1">
      <alignment horizontal="right"/>
    </xf>
    <xf numFmtId="44" fontId="3" fillId="5" borderId="42" xfId="1" applyFont="1" applyFill="1" applyBorder="1" applyAlignment="1" applyProtection="1">
      <alignment horizontal="right"/>
    </xf>
    <xf numFmtId="44" fontId="3" fillId="5" borderId="31" xfId="1" applyFont="1" applyFill="1" applyBorder="1" applyAlignment="1" applyProtection="1">
      <alignment horizontal="right"/>
    </xf>
    <xf numFmtId="44" fontId="3" fillId="5" borderId="44" xfId="1" applyFont="1" applyFill="1" applyBorder="1" applyAlignment="1" applyProtection="1">
      <alignment horizontal="right"/>
    </xf>
    <xf numFmtId="44" fontId="13" fillId="2" borderId="34" xfId="1" applyFont="1" applyFill="1" applyBorder="1" applyAlignment="1" applyProtection="1">
      <alignment horizontal="right" wrapText="1"/>
    </xf>
    <xf numFmtId="44" fontId="13" fillId="2" borderId="41" xfId="1" applyFont="1" applyFill="1" applyBorder="1" applyAlignment="1" applyProtection="1">
      <alignment horizontal="right" wrapText="1"/>
    </xf>
    <xf numFmtId="10" fontId="14" fillId="2" borderId="34" xfId="0" applyNumberFormat="1" applyFont="1" applyFill="1" applyBorder="1" applyAlignment="1" applyProtection="1">
      <alignment horizontal="right" wrapText="1"/>
    </xf>
    <xf numFmtId="10" fontId="14" fillId="2" borderId="41" xfId="0" applyNumberFormat="1" applyFont="1" applyFill="1" applyBorder="1" applyAlignment="1" applyProtection="1">
      <alignment horizontal="right" wrapText="1"/>
    </xf>
    <xf numFmtId="44" fontId="3" fillId="4" borderId="36" xfId="0" applyNumberFormat="1" applyFont="1" applyFill="1" applyBorder="1" applyAlignment="1" applyProtection="1">
      <alignment horizontal="right"/>
    </xf>
    <xf numFmtId="44" fontId="3" fillId="4" borderId="43" xfId="0" applyNumberFormat="1" applyFont="1" applyFill="1" applyBorder="1" applyAlignment="1" applyProtection="1">
      <alignment horizontal="right"/>
    </xf>
    <xf numFmtId="44" fontId="3" fillId="4" borderId="35" xfId="1" applyFont="1" applyFill="1" applyBorder="1" applyAlignment="1" applyProtection="1">
      <alignment horizontal="right"/>
    </xf>
    <xf numFmtId="44" fontId="3" fillId="4" borderId="42" xfId="1" applyFont="1" applyFill="1" applyBorder="1" applyAlignment="1" applyProtection="1">
      <alignment horizontal="right"/>
    </xf>
    <xf numFmtId="0" fontId="13" fillId="2" borderId="34" xfId="0" applyFont="1" applyFill="1" applyBorder="1" applyAlignment="1" applyProtection="1">
      <alignment horizontal="center"/>
    </xf>
    <xf numFmtId="0" fontId="13" fillId="2" borderId="34" xfId="0" applyFont="1" applyFill="1" applyBorder="1" applyAlignment="1" applyProtection="1">
      <alignment horizontal="center" wrapText="1"/>
    </xf>
    <xf numFmtId="0" fontId="13" fillId="2" borderId="41" xfId="0" applyFont="1" applyFill="1" applyBorder="1" applyAlignment="1" applyProtection="1">
      <alignment horizontal="center"/>
    </xf>
    <xf numFmtId="0" fontId="13" fillId="2" borderId="14" xfId="0" applyFont="1" applyFill="1" applyBorder="1" applyProtection="1"/>
    <xf numFmtId="0" fontId="12" fillId="2" borderId="15" xfId="0" applyFont="1" applyFill="1" applyBorder="1" applyProtection="1"/>
    <xf numFmtId="0" fontId="4" fillId="4" borderId="3" xfId="0" applyFont="1" applyFill="1" applyBorder="1" applyProtection="1"/>
    <xf numFmtId="0" fontId="0" fillId="4" borderId="4" xfId="0" applyFill="1" applyBorder="1" applyProtection="1"/>
    <xf numFmtId="0" fontId="10" fillId="4" borderId="4" xfId="0" applyFont="1" applyFill="1" applyBorder="1" applyProtection="1"/>
    <xf numFmtId="0" fontId="4" fillId="4" borderId="6" xfId="0" applyFont="1" applyFill="1" applyBorder="1" applyProtection="1"/>
    <xf numFmtId="0" fontId="3" fillId="4" borderId="0" xfId="0" applyFont="1" applyFill="1" applyBorder="1" applyProtection="1"/>
    <xf numFmtId="0" fontId="0" fillId="4" borderId="0" xfId="0" applyFill="1" applyBorder="1" applyProtection="1"/>
    <xf numFmtId="0" fontId="10" fillId="4" borderId="0" xfId="0" applyFont="1" applyFill="1" applyBorder="1" applyProtection="1"/>
    <xf numFmtId="44" fontId="3" fillId="4" borderId="0" xfId="1" applyFont="1" applyFill="1" applyBorder="1" applyProtection="1"/>
    <xf numFmtId="0" fontId="4" fillId="4" borderId="7" xfId="0" applyFont="1" applyFill="1" applyBorder="1" applyProtection="1"/>
    <xf numFmtId="0" fontId="3" fillId="4" borderId="1" xfId="0" applyFont="1" applyFill="1" applyBorder="1" applyProtection="1"/>
    <xf numFmtId="0" fontId="0" fillId="4" borderId="1" xfId="0" applyFill="1" applyBorder="1" applyProtection="1"/>
    <xf numFmtId="0" fontId="10" fillId="4" borderId="1" xfId="0" applyFont="1" applyFill="1" applyBorder="1" applyProtection="1"/>
    <xf numFmtId="44" fontId="3" fillId="4" borderId="1" xfId="1" applyFont="1" applyFill="1" applyBorder="1" applyProtection="1"/>
    <xf numFmtId="0" fontId="3" fillId="4" borderId="71" xfId="0" applyFont="1" applyFill="1" applyBorder="1" applyProtection="1"/>
    <xf numFmtId="0" fontId="4" fillId="4" borderId="14" xfId="0" applyFont="1" applyFill="1" applyBorder="1" applyProtection="1"/>
    <xf numFmtId="0" fontId="3" fillId="4" borderId="15" xfId="0" applyFont="1" applyFill="1" applyBorder="1" applyProtection="1"/>
    <xf numFmtId="0" fontId="0" fillId="4" borderId="15" xfId="0" applyFill="1" applyBorder="1" applyProtection="1"/>
    <xf numFmtId="0" fontId="10" fillId="4" borderId="15" xfId="0" applyFont="1" applyFill="1" applyBorder="1" applyProtection="1"/>
    <xf numFmtId="44" fontId="3" fillId="4" borderId="15" xfId="1" applyFont="1" applyFill="1" applyBorder="1" applyProtection="1"/>
    <xf numFmtId="0" fontId="3" fillId="4" borderId="56" xfId="0" applyFont="1" applyFill="1" applyBorder="1" applyProtection="1"/>
    <xf numFmtId="0" fontId="13" fillId="5" borderId="6" xfId="0" applyFont="1" applyFill="1" applyBorder="1" applyProtection="1"/>
    <xf numFmtId="0" fontId="7" fillId="5" borderId="0" xfId="0" applyFont="1" applyFill="1" applyBorder="1" applyProtection="1"/>
    <xf numFmtId="0" fontId="14" fillId="5" borderId="0" xfId="0" applyFont="1" applyFill="1" applyBorder="1" applyProtection="1"/>
    <xf numFmtId="0" fontId="0" fillId="5" borderId="0" xfId="0" applyFill="1" applyBorder="1" applyProtection="1"/>
    <xf numFmtId="0" fontId="10" fillId="5" borderId="0" xfId="0" applyFont="1" applyFill="1" applyBorder="1" applyProtection="1"/>
    <xf numFmtId="0" fontId="3" fillId="5" borderId="0" xfId="0" applyFont="1" applyFill="1" applyBorder="1" applyProtection="1"/>
    <xf numFmtId="44" fontId="3" fillId="5" borderId="0" xfId="1" applyFont="1" applyFill="1" applyBorder="1" applyProtection="1"/>
    <xf numFmtId="0" fontId="3" fillId="4" borderId="6" xfId="0" applyFont="1" applyFill="1" applyBorder="1" applyProtection="1"/>
    <xf numFmtId="44" fontId="33" fillId="2" borderId="23" xfId="1" applyFont="1" applyFill="1" applyBorder="1" applyProtection="1"/>
    <xf numFmtId="44" fontId="4" fillId="2" borderId="38" xfId="0" applyNumberFormat="1" applyFont="1" applyFill="1" applyBorder="1" applyProtection="1"/>
    <xf numFmtId="44" fontId="4" fillId="2" borderId="48" xfId="1" applyFont="1" applyFill="1" applyBorder="1" applyProtection="1"/>
    <xf numFmtId="0" fontId="44" fillId="4" borderId="0" xfId="0" applyFont="1" applyFill="1" applyBorder="1" applyProtection="1">
      <protection locked="0"/>
    </xf>
    <xf numFmtId="0" fontId="7" fillId="4" borderId="15" xfId="0" applyFont="1" applyFill="1" applyBorder="1" applyProtection="1">
      <protection locked="0"/>
    </xf>
    <xf numFmtId="0" fontId="14" fillId="4" borderId="0" xfId="0" applyFont="1" applyFill="1" applyBorder="1" applyProtection="1">
      <protection locked="0"/>
    </xf>
    <xf numFmtId="44" fontId="13" fillId="0" borderId="2" xfId="0" applyNumberFormat="1" applyFont="1" applyFill="1" applyBorder="1" applyProtection="1">
      <protection locked="0"/>
    </xf>
    <xf numFmtId="1" fontId="7" fillId="0" borderId="2" xfId="0" applyNumberFormat="1" applyFont="1" applyFill="1" applyBorder="1" applyAlignment="1" applyProtection="1">
      <alignment horizontal="center" wrapText="1"/>
      <protection locked="0"/>
    </xf>
    <xf numFmtId="0" fontId="19" fillId="0" borderId="0" xfId="0" applyFont="1" applyProtection="1">
      <protection locked="0"/>
    </xf>
    <xf numFmtId="0" fontId="14" fillId="4" borderId="53" xfId="0" applyFont="1" applyFill="1" applyBorder="1" applyProtection="1">
      <protection locked="0"/>
    </xf>
    <xf numFmtId="0" fontId="0" fillId="4" borderId="28" xfId="0" applyFill="1" applyBorder="1" applyAlignment="1" applyProtection="1">
      <alignment horizontal="left"/>
      <protection locked="0"/>
    </xf>
    <xf numFmtId="0" fontId="14" fillId="4" borderId="1" xfId="0" applyFont="1" applyFill="1" applyBorder="1" applyProtection="1">
      <protection locked="0"/>
    </xf>
    <xf numFmtId="0" fontId="7" fillId="0" borderId="0" xfId="0" applyFont="1" applyFill="1" applyBorder="1" applyProtection="1">
      <protection locked="0"/>
    </xf>
    <xf numFmtId="0" fontId="7" fillId="0" borderId="0" xfId="0" applyFont="1" applyFill="1" applyBorder="1" applyAlignment="1" applyProtection="1">
      <alignment horizontal="right"/>
      <protection locked="0"/>
    </xf>
    <xf numFmtId="0" fontId="12" fillId="0" borderId="0" xfId="0" applyFont="1" applyFill="1" applyBorder="1" applyAlignment="1" applyProtection="1">
      <alignment horizontal="center"/>
      <protection locked="0"/>
    </xf>
    <xf numFmtId="1" fontId="13" fillId="0" borderId="0" xfId="0" applyNumberFormat="1" applyFont="1" applyFill="1" applyBorder="1" applyAlignment="1" applyProtection="1">
      <alignment horizontal="center"/>
      <protection locked="0"/>
    </xf>
    <xf numFmtId="0" fontId="19" fillId="0" borderId="0" xfId="0" applyFont="1" applyBorder="1" applyProtection="1">
      <protection locked="0"/>
    </xf>
    <xf numFmtId="44" fontId="12" fillId="0" borderId="0" xfId="0" applyNumberFormat="1" applyFont="1" applyFill="1" applyBorder="1" applyAlignment="1" applyProtection="1">
      <alignment horizontal="right"/>
      <protection locked="0"/>
    </xf>
    <xf numFmtId="44" fontId="12" fillId="0" borderId="0" xfId="0" applyNumberFormat="1" applyFont="1" applyFill="1" applyBorder="1" applyAlignment="1" applyProtection="1">
      <alignment horizontal="right" vertical="center"/>
      <protection locked="0"/>
    </xf>
    <xf numFmtId="0" fontId="7" fillId="0" borderId="0" xfId="0" applyFont="1" applyFill="1" applyBorder="1" applyAlignment="1" applyProtection="1">
      <alignment horizontal="right" vertical="center"/>
      <protection locked="0"/>
    </xf>
    <xf numFmtId="44" fontId="13" fillId="0" borderId="0" xfId="0" applyNumberFormat="1" applyFont="1" applyFill="1" applyBorder="1" applyAlignment="1" applyProtection="1">
      <alignment horizontal="right" vertical="center"/>
      <protection locked="0"/>
    </xf>
    <xf numFmtId="0" fontId="14" fillId="0" borderId="0" xfId="0" applyFont="1" applyFill="1" applyBorder="1" applyAlignment="1" applyProtection="1">
      <alignment horizontal="right" vertical="center"/>
      <protection locked="0"/>
    </xf>
    <xf numFmtId="0" fontId="19" fillId="0" borderId="0" xfId="0" applyFont="1" applyFill="1" applyBorder="1" applyProtection="1">
      <protection locked="0"/>
    </xf>
    <xf numFmtId="0" fontId="19" fillId="0" borderId="0" xfId="0" applyFont="1" applyFill="1" applyProtection="1">
      <protection locked="0"/>
    </xf>
    <xf numFmtId="0" fontId="7" fillId="0" borderId="0" xfId="0" applyFont="1" applyFill="1" applyProtection="1">
      <protection locked="0"/>
    </xf>
    <xf numFmtId="1" fontId="19" fillId="0" borderId="0" xfId="0" applyNumberFormat="1" applyFont="1" applyAlignment="1" applyProtection="1">
      <alignment horizontal="right"/>
    </xf>
    <xf numFmtId="0" fontId="19" fillId="0" borderId="0" xfId="0" applyFont="1" applyProtection="1"/>
    <xf numFmtId="2" fontId="19" fillId="0" borderId="0" xfId="0" applyNumberFormat="1" applyFont="1" applyAlignment="1" applyProtection="1">
      <alignment horizontal="right"/>
    </xf>
    <xf numFmtId="1" fontId="19" fillId="0" borderId="0" xfId="0" applyNumberFormat="1" applyFont="1" applyAlignment="1" applyProtection="1">
      <alignment horizontal="right" vertical="top"/>
    </xf>
    <xf numFmtId="0" fontId="19" fillId="0" borderId="0" xfId="0" applyFont="1" applyAlignment="1" applyProtection="1">
      <alignment vertical="top"/>
    </xf>
    <xf numFmtId="0" fontId="14" fillId="8" borderId="78" xfId="0" applyFont="1" applyFill="1" applyBorder="1" applyAlignment="1" applyProtection="1">
      <alignment horizontal="right" vertical="center"/>
    </xf>
    <xf numFmtId="0" fontId="3" fillId="0" borderId="0" xfId="0" applyFont="1" applyProtection="1"/>
    <xf numFmtId="10" fontId="13" fillId="9" borderId="23" xfId="2" applyNumberFormat="1" applyFont="1" applyFill="1" applyBorder="1" applyProtection="1"/>
    <xf numFmtId="0" fontId="2" fillId="4" borderId="9" xfId="0" applyFont="1" applyFill="1" applyBorder="1" applyProtection="1"/>
    <xf numFmtId="0" fontId="19" fillId="0" borderId="0" xfId="3" applyFont="1" applyFill="1" applyProtection="1">
      <protection locked="0"/>
    </xf>
    <xf numFmtId="0" fontId="9" fillId="4" borderId="26" xfId="0" applyFont="1" applyFill="1" applyBorder="1" applyAlignment="1" applyProtection="1">
      <alignment horizontal="left"/>
    </xf>
    <xf numFmtId="22" fontId="7" fillId="8" borderId="88" xfId="0" quotePrefix="1" applyNumberFormat="1" applyFont="1" applyFill="1" applyBorder="1" applyAlignment="1" applyProtection="1"/>
    <xf numFmtId="0" fontId="14" fillId="8" borderId="89" xfId="0" applyFont="1" applyFill="1" applyBorder="1" applyAlignment="1" applyProtection="1">
      <alignment horizontal="center" vertical="center"/>
    </xf>
    <xf numFmtId="0" fontId="7" fillId="8" borderId="88" xfId="0" applyFont="1" applyFill="1" applyBorder="1" applyAlignment="1" applyProtection="1">
      <alignment horizontal="center" vertical="center"/>
    </xf>
    <xf numFmtId="0" fontId="7" fillId="4" borderId="88" xfId="0" applyFont="1" applyFill="1" applyBorder="1" applyAlignment="1" applyProtection="1">
      <alignment vertical="center" wrapText="1"/>
    </xf>
    <xf numFmtId="0" fontId="0" fillId="4" borderId="75" xfId="0" applyFont="1" applyFill="1" applyBorder="1" applyProtection="1"/>
    <xf numFmtId="0" fontId="0" fillId="4" borderId="0" xfId="0" applyFont="1" applyFill="1" applyBorder="1" applyProtection="1"/>
    <xf numFmtId="0" fontId="0" fillId="4" borderId="77" xfId="0" applyFont="1" applyFill="1" applyBorder="1" applyProtection="1"/>
    <xf numFmtId="10" fontId="0" fillId="0" borderId="0" xfId="2" applyNumberFormat="1" applyFont="1" applyProtection="1">
      <protection locked="0"/>
    </xf>
    <xf numFmtId="10" fontId="0" fillId="3" borderId="2" xfId="2" applyNumberFormat="1" applyFont="1" applyFill="1" applyBorder="1" applyAlignment="1" applyProtection="1">
      <alignment horizontal="center"/>
      <protection locked="0"/>
    </xf>
    <xf numFmtId="0" fontId="0" fillId="4" borderId="7" xfId="0" applyFill="1" applyBorder="1" applyProtection="1">
      <protection locked="0"/>
    </xf>
    <xf numFmtId="10" fontId="0" fillId="4" borderId="1" xfId="2" applyNumberFormat="1" applyFont="1" applyFill="1" applyBorder="1" applyProtection="1">
      <protection locked="0"/>
    </xf>
    <xf numFmtId="0" fontId="0" fillId="4" borderId="1" xfId="0" applyFill="1" applyBorder="1" applyProtection="1">
      <protection locked="0"/>
    </xf>
    <xf numFmtId="0" fontId="0" fillId="4" borderId="17" xfId="0" applyFill="1" applyBorder="1" applyProtection="1">
      <protection locked="0"/>
    </xf>
    <xf numFmtId="44" fontId="7" fillId="4" borderId="2" xfId="1" applyNumberFormat="1" applyFont="1" applyFill="1" applyBorder="1" applyProtection="1"/>
    <xf numFmtId="44" fontId="1" fillId="4" borderId="2" xfId="1" applyNumberFormat="1" applyFont="1" applyFill="1" applyBorder="1" applyProtection="1"/>
    <xf numFmtId="44" fontId="3" fillId="4" borderId="23" xfId="0" applyNumberFormat="1" applyFont="1" applyFill="1" applyBorder="1" applyProtection="1"/>
    <xf numFmtId="0" fontId="17" fillId="4" borderId="16" xfId="3" applyFont="1" applyFill="1" applyBorder="1" applyProtection="1"/>
    <xf numFmtId="0" fontId="9" fillId="0" borderId="0" xfId="0" applyFont="1" applyProtection="1">
      <protection locked="0"/>
    </xf>
    <xf numFmtId="0" fontId="50" fillId="0" borderId="0" xfId="0" applyFont="1" applyAlignment="1" applyProtection="1">
      <alignment horizontal="right"/>
    </xf>
    <xf numFmtId="10" fontId="0" fillId="4" borderId="15" xfId="0" applyNumberFormat="1" applyFont="1" applyFill="1" applyBorder="1" applyProtection="1">
      <protection locked="0"/>
    </xf>
    <xf numFmtId="166" fontId="0" fillId="0" borderId="2" xfId="1" applyNumberFormat="1" applyFont="1" applyFill="1" applyBorder="1" applyProtection="1"/>
    <xf numFmtId="44" fontId="0" fillId="4" borderId="16" xfId="1" applyFont="1" applyFill="1" applyBorder="1" applyProtection="1"/>
    <xf numFmtId="14" fontId="0" fillId="4" borderId="15" xfId="0" applyNumberFormat="1" applyFont="1" applyFill="1" applyBorder="1" applyProtection="1">
      <protection locked="0"/>
    </xf>
    <xf numFmtId="0" fontId="62" fillId="0" borderId="0" xfId="0" applyFont="1" applyProtection="1">
      <protection locked="0"/>
    </xf>
    <xf numFmtId="44" fontId="62" fillId="0" borderId="0" xfId="0" applyNumberFormat="1" applyFont="1" applyProtection="1">
      <protection locked="0"/>
    </xf>
    <xf numFmtId="10" fontId="62" fillId="0" borderId="0" xfId="2" applyNumberFormat="1" applyFont="1" applyProtection="1">
      <protection locked="0"/>
    </xf>
    <xf numFmtId="10" fontId="0" fillId="0" borderId="8" xfId="1" applyNumberFormat="1" applyFont="1" applyFill="1" applyBorder="1" applyProtection="1"/>
    <xf numFmtId="0" fontId="24" fillId="0" borderId="0" xfId="3" applyFont="1" applyFill="1" applyProtection="1">
      <protection locked="0"/>
    </xf>
    <xf numFmtId="0" fontId="7" fillId="4" borderId="91" xfId="0" applyFont="1" applyFill="1" applyBorder="1" applyAlignment="1" applyProtection="1">
      <alignment vertical="center" wrapText="1"/>
    </xf>
    <xf numFmtId="10" fontId="13" fillId="4" borderId="92" xfId="2" applyNumberFormat="1" applyFont="1" applyFill="1" applyBorder="1" applyAlignment="1" applyProtection="1">
      <alignment horizontal="center" vertical="center"/>
    </xf>
    <xf numFmtId="10" fontId="13" fillId="4" borderId="93" xfId="2" applyNumberFormat="1" applyFont="1" applyFill="1" applyBorder="1" applyAlignment="1" applyProtection="1">
      <alignment horizontal="center" vertical="center"/>
    </xf>
    <xf numFmtId="0" fontId="3" fillId="4" borderId="87" xfId="0" applyFont="1" applyFill="1" applyBorder="1" applyProtection="1"/>
    <xf numFmtId="0" fontId="3" fillId="8" borderId="88" xfId="0" applyFont="1" applyFill="1" applyBorder="1" applyAlignment="1" applyProtection="1">
      <alignment horizontal="right"/>
    </xf>
    <xf numFmtId="171" fontId="14" fillId="4" borderId="95" xfId="1" applyNumberFormat="1" applyFont="1" applyFill="1" applyBorder="1" applyAlignment="1" applyProtection="1">
      <alignment horizontal="center" vertical="center"/>
    </xf>
    <xf numFmtId="1" fontId="7" fillId="4" borderId="92" xfId="2" applyNumberFormat="1" applyFont="1" applyFill="1" applyBorder="1" applyAlignment="1" applyProtection="1">
      <alignment horizontal="center" vertical="center"/>
    </xf>
    <xf numFmtId="44" fontId="0" fillId="0" borderId="15" xfId="1" applyFont="1" applyBorder="1" applyProtection="1">
      <protection locked="0"/>
    </xf>
    <xf numFmtId="44" fontId="3" fillId="4" borderId="15" xfId="1" applyFont="1" applyFill="1" applyBorder="1" applyProtection="1">
      <protection locked="0"/>
    </xf>
    <xf numFmtId="44" fontId="14" fillId="4" borderId="2" xfId="1" applyFont="1" applyFill="1" applyBorder="1" applyProtection="1"/>
    <xf numFmtId="44" fontId="3" fillId="0" borderId="15" xfId="1" applyFont="1" applyBorder="1" applyProtection="1">
      <protection locked="0"/>
    </xf>
    <xf numFmtId="44" fontId="7" fillId="4" borderId="3" xfId="1" applyFont="1" applyFill="1" applyBorder="1" applyProtection="1"/>
    <xf numFmtId="44" fontId="7" fillId="4" borderId="18" xfId="1" applyFont="1" applyFill="1" applyBorder="1" applyProtection="1"/>
    <xf numFmtId="44" fontId="7" fillId="4" borderId="6" xfId="1" applyFont="1" applyFill="1" applyBorder="1" applyProtection="1"/>
    <xf numFmtId="44" fontId="7" fillId="4" borderId="11" xfId="1" applyFont="1" applyFill="1" applyBorder="1" applyProtection="1"/>
    <xf numFmtId="44" fontId="14" fillId="4" borderId="7" xfId="1" applyFont="1" applyFill="1" applyBorder="1" applyProtection="1"/>
    <xf numFmtId="44" fontId="14" fillId="4" borderId="17" xfId="1" applyFont="1" applyFill="1" applyBorder="1" applyProtection="1"/>
    <xf numFmtId="0" fontId="19" fillId="4" borderId="5" xfId="2" applyNumberFormat="1" applyFont="1" applyFill="1" applyBorder="1" applyAlignment="1" applyProtection="1">
      <alignment vertical="top"/>
    </xf>
    <xf numFmtId="167" fontId="7" fillId="3" borderId="3" xfId="3" applyNumberFormat="1" applyFont="1" applyFill="1" applyBorder="1" applyProtection="1">
      <protection locked="0"/>
    </xf>
    <xf numFmtId="167" fontId="7" fillId="3" borderId="18" xfId="3" applyNumberFormat="1" applyFont="1" applyFill="1" applyBorder="1" applyProtection="1">
      <protection locked="0"/>
    </xf>
    <xf numFmtId="44" fontId="7" fillId="3" borderId="13" xfId="1" applyFont="1" applyFill="1" applyBorder="1" applyProtection="1">
      <protection locked="0"/>
    </xf>
    <xf numFmtId="0" fontId="14" fillId="4" borderId="6" xfId="0" applyFont="1" applyFill="1" applyBorder="1" applyProtection="1"/>
    <xf numFmtId="0" fontId="7" fillId="4" borderId="3" xfId="0" applyFont="1" applyFill="1" applyBorder="1" applyProtection="1"/>
    <xf numFmtId="0" fontId="7" fillId="4" borderId="18" xfId="0" applyFont="1" applyFill="1" applyBorder="1" applyProtection="1"/>
    <xf numFmtId="0" fontId="7" fillId="4" borderId="7" xfId="0" applyFont="1" applyFill="1" applyBorder="1" applyProtection="1"/>
    <xf numFmtId="0" fontId="7" fillId="4" borderId="14" xfId="0" applyFont="1" applyFill="1" applyBorder="1" applyProtection="1"/>
    <xf numFmtId="10" fontId="7" fillId="4" borderId="2" xfId="2" applyNumberFormat="1" applyFont="1" applyFill="1" applyBorder="1" applyProtection="1"/>
    <xf numFmtId="0" fontId="14" fillId="2" borderId="14" xfId="0" applyFont="1" applyFill="1" applyBorder="1" applyAlignment="1" applyProtection="1">
      <alignment vertical="top" wrapText="1"/>
    </xf>
    <xf numFmtId="167" fontId="14" fillId="2" borderId="2" xfId="3" applyNumberFormat="1" applyFont="1" applyFill="1" applyBorder="1" applyAlignment="1" applyProtection="1">
      <alignment horizontal="center" vertical="top" wrapText="1"/>
    </xf>
    <xf numFmtId="0" fontId="0" fillId="2" borderId="14" xfId="0" applyFont="1" applyFill="1" applyBorder="1" applyProtection="1"/>
    <xf numFmtId="0" fontId="0" fillId="2" borderId="15" xfId="0" applyFont="1" applyFill="1" applyBorder="1" applyProtection="1"/>
    <xf numFmtId="0" fontId="0" fillId="2" borderId="15" xfId="0" applyFont="1" applyFill="1" applyBorder="1" applyAlignment="1" applyProtection="1">
      <alignment horizontal="left"/>
    </xf>
    <xf numFmtId="0" fontId="0" fillId="2" borderId="2" xfId="0" applyFont="1" applyFill="1" applyBorder="1" applyAlignment="1" applyProtection="1">
      <alignment horizontal="left"/>
    </xf>
    <xf numFmtId="10" fontId="14" fillId="2" borderId="14" xfId="2" applyNumberFormat="1" applyFont="1" applyFill="1" applyBorder="1" applyAlignment="1" applyProtection="1">
      <alignment horizontal="center" wrapText="1"/>
    </xf>
    <xf numFmtId="10" fontId="14" fillId="2" borderId="2" xfId="2" applyNumberFormat="1" applyFont="1" applyFill="1" applyBorder="1" applyAlignment="1" applyProtection="1">
      <alignment horizontal="center" wrapText="1"/>
    </xf>
    <xf numFmtId="44" fontId="0" fillId="4" borderId="2" xfId="1" applyNumberFormat="1" applyFont="1" applyFill="1" applyBorder="1" applyProtection="1"/>
    <xf numFmtId="0" fontId="3" fillId="2" borderId="7" xfId="0" applyFont="1" applyFill="1" applyBorder="1" applyProtection="1"/>
    <xf numFmtId="0" fontId="3" fillId="2" borderId="1" xfId="0" applyFont="1" applyFill="1" applyBorder="1" applyProtection="1"/>
    <xf numFmtId="0" fontId="14" fillId="2" borderId="14" xfId="0" applyFont="1" applyFill="1" applyBorder="1" applyProtection="1"/>
    <xf numFmtId="0" fontId="14" fillId="2" borderId="15" xfId="0" applyFont="1" applyFill="1" applyBorder="1" applyProtection="1"/>
    <xf numFmtId="10" fontId="14" fillId="2" borderId="15" xfId="0" applyNumberFormat="1" applyFont="1" applyFill="1" applyBorder="1" applyProtection="1"/>
    <xf numFmtId="44" fontId="14" fillId="2" borderId="16" xfId="1" applyFont="1" applyFill="1" applyBorder="1" applyProtection="1"/>
    <xf numFmtId="0" fontId="7" fillId="0" borderId="2" xfId="0" applyFont="1" applyBorder="1" applyProtection="1"/>
    <xf numFmtId="0" fontId="7" fillId="4" borderId="14" xfId="0" applyFont="1" applyFill="1" applyBorder="1" applyAlignment="1" applyProtection="1">
      <alignment horizontal="right"/>
    </xf>
    <xf numFmtId="44" fontId="7" fillId="4" borderId="16" xfId="1" applyFont="1" applyFill="1" applyBorder="1" applyAlignment="1" applyProtection="1">
      <alignment horizontal="right"/>
    </xf>
    <xf numFmtId="0" fontId="7" fillId="4" borderId="7" xfId="0" applyFont="1" applyFill="1" applyBorder="1" applyAlignment="1" applyProtection="1">
      <alignment horizontal="right"/>
    </xf>
    <xf numFmtId="0" fontId="14" fillId="4" borderId="14" xfId="0" applyFont="1" applyFill="1" applyBorder="1" applyProtection="1"/>
    <xf numFmtId="0" fontId="14" fillId="4" borderId="15" xfId="0" applyFont="1" applyFill="1" applyBorder="1" applyProtection="1"/>
    <xf numFmtId="10" fontId="7" fillId="4" borderId="15" xfId="0" applyNumberFormat="1" applyFont="1" applyFill="1" applyBorder="1" applyProtection="1"/>
    <xf numFmtId="0" fontId="4" fillId="2" borderId="14" xfId="0" applyFont="1" applyFill="1" applyBorder="1" applyProtection="1"/>
    <xf numFmtId="0" fontId="4" fillId="2" borderId="15" xfId="0" applyFont="1" applyFill="1" applyBorder="1" applyProtection="1"/>
    <xf numFmtId="0" fontId="16" fillId="2" borderId="16" xfId="0" applyFont="1" applyFill="1" applyBorder="1" applyProtection="1"/>
    <xf numFmtId="0" fontId="7" fillId="2" borderId="84" xfId="0" applyFont="1" applyFill="1" applyBorder="1" applyProtection="1"/>
    <xf numFmtId="0" fontId="2" fillId="0" borderId="0" xfId="0" applyFont="1" applyProtection="1"/>
    <xf numFmtId="2" fontId="22" fillId="0" borderId="99" xfId="0" applyNumberFormat="1" applyFont="1" applyBorder="1" applyAlignment="1" applyProtection="1">
      <alignment horizontal="center"/>
    </xf>
    <xf numFmtId="2" fontId="22" fillId="0" borderId="96" xfId="0" applyNumberFormat="1" applyFont="1" applyBorder="1" applyAlignment="1" applyProtection="1">
      <alignment horizontal="center"/>
    </xf>
    <xf numFmtId="0" fontId="44" fillId="4" borderId="3" xfId="0" applyFont="1" applyFill="1" applyBorder="1" applyProtection="1"/>
    <xf numFmtId="0" fontId="0" fillId="4" borderId="18" xfId="0" applyFill="1" applyBorder="1" applyProtection="1"/>
    <xf numFmtId="0" fontId="44" fillId="4" borderId="6" xfId="0" applyFont="1" applyFill="1" applyBorder="1" applyProtection="1"/>
    <xf numFmtId="0" fontId="14" fillId="4" borderId="11" xfId="0" applyFont="1" applyFill="1" applyBorder="1" applyAlignment="1" applyProtection="1">
      <alignment horizontal="right"/>
    </xf>
    <xf numFmtId="0" fontId="13" fillId="4" borderId="3" xfId="0" applyFont="1" applyFill="1" applyBorder="1" applyAlignment="1" applyProtection="1">
      <alignment horizontal="left"/>
    </xf>
    <xf numFmtId="0" fontId="13" fillId="4" borderId="4" xfId="0" applyFont="1" applyFill="1" applyBorder="1" applyProtection="1"/>
    <xf numFmtId="0" fontId="0" fillId="4" borderId="18" xfId="0" applyFont="1" applyFill="1" applyBorder="1" applyProtection="1"/>
    <xf numFmtId="0" fontId="7" fillId="4" borderId="1" xfId="0" applyFont="1" applyFill="1" applyBorder="1" applyProtection="1"/>
    <xf numFmtId="0" fontId="33" fillId="4" borderId="3" xfId="0" applyFont="1" applyFill="1" applyBorder="1" applyProtection="1"/>
    <xf numFmtId="0" fontId="33" fillId="4" borderId="6" xfId="0" applyFont="1" applyFill="1" applyBorder="1" applyProtection="1"/>
    <xf numFmtId="0" fontId="3" fillId="4" borderId="11" xfId="0" applyFont="1" applyFill="1" applyBorder="1" applyAlignment="1" applyProtection="1">
      <alignment horizontal="right"/>
    </xf>
    <xf numFmtId="0" fontId="0" fillId="3" borderId="14" xfId="0" applyFont="1" applyFill="1" applyBorder="1" applyProtection="1"/>
    <xf numFmtId="0" fontId="0" fillId="3" borderId="16" xfId="0" applyFont="1" applyFill="1" applyBorder="1" applyProtection="1"/>
    <xf numFmtId="0" fontId="0" fillId="4" borderId="4" xfId="0" applyFont="1" applyFill="1" applyBorder="1" applyProtection="1"/>
    <xf numFmtId="0" fontId="0" fillId="0" borderId="0" xfId="0" applyFont="1" applyBorder="1" applyProtection="1"/>
    <xf numFmtId="0" fontId="0" fillId="0" borderId="16" xfId="0" applyFont="1" applyBorder="1" applyProtection="1"/>
    <xf numFmtId="0" fontId="23" fillId="4" borderId="4" xfId="0" applyFont="1" applyFill="1" applyBorder="1" applyProtection="1"/>
    <xf numFmtId="0" fontId="23" fillId="4" borderId="0" xfId="0" applyFont="1" applyFill="1" applyBorder="1" applyProtection="1"/>
    <xf numFmtId="0" fontId="33" fillId="8" borderId="3" xfId="0" applyFont="1" applyFill="1" applyBorder="1" applyProtection="1"/>
    <xf numFmtId="0" fontId="0" fillId="8" borderId="4" xfId="0" applyFont="1" applyFill="1" applyBorder="1" applyProtection="1"/>
    <xf numFmtId="0" fontId="23" fillId="8" borderId="4" xfId="0" applyFont="1" applyFill="1" applyBorder="1" applyProtection="1"/>
    <xf numFmtId="0" fontId="0" fillId="8" borderId="18" xfId="0" applyFont="1" applyFill="1" applyBorder="1" applyProtection="1"/>
    <xf numFmtId="0" fontId="44" fillId="8" borderId="6" xfId="0" applyFont="1" applyFill="1" applyBorder="1" applyProtection="1"/>
    <xf numFmtId="0" fontId="44" fillId="8" borderId="0" xfId="0" applyFont="1" applyFill="1" applyBorder="1" applyProtection="1"/>
    <xf numFmtId="0" fontId="14" fillId="8" borderId="11" xfId="0" applyFont="1" applyFill="1" applyBorder="1" applyAlignment="1" applyProtection="1">
      <alignment horizontal="right"/>
    </xf>
    <xf numFmtId="0" fontId="7" fillId="3" borderId="3" xfId="0" applyFont="1" applyFill="1" applyBorder="1" applyProtection="1"/>
    <xf numFmtId="0" fontId="7" fillId="3" borderId="4" xfId="0" applyFont="1" applyFill="1" applyBorder="1" applyProtection="1"/>
    <xf numFmtId="0" fontId="7" fillId="3" borderId="18" xfId="0" applyFont="1" applyFill="1" applyBorder="1" applyProtection="1"/>
    <xf numFmtId="0" fontId="18" fillId="2" borderId="14" xfId="0" applyFont="1" applyFill="1" applyBorder="1" applyProtection="1"/>
    <xf numFmtId="0" fontId="0" fillId="2" borderId="16" xfId="0" applyFont="1" applyFill="1" applyBorder="1" applyProtection="1"/>
    <xf numFmtId="0" fontId="0" fillId="4" borderId="11" xfId="0" applyFont="1" applyFill="1" applyBorder="1" applyProtection="1"/>
    <xf numFmtId="0" fontId="0" fillId="2" borderId="20" xfId="0" applyFont="1" applyFill="1" applyBorder="1" applyAlignment="1" applyProtection="1">
      <alignment horizontal="center" wrapText="1"/>
    </xf>
    <xf numFmtId="0" fontId="0" fillId="2" borderId="19" xfId="0" applyFont="1" applyFill="1" applyBorder="1" applyAlignment="1" applyProtection="1">
      <alignment horizontal="center" wrapText="1"/>
    </xf>
    <xf numFmtId="0" fontId="0" fillId="2" borderId="55" xfId="0" applyFont="1" applyFill="1" applyBorder="1" applyAlignment="1" applyProtection="1">
      <alignment horizontal="center" wrapText="1"/>
    </xf>
    <xf numFmtId="0" fontId="0" fillId="2" borderId="32" xfId="0" applyFont="1" applyFill="1" applyBorder="1" applyAlignment="1" applyProtection="1">
      <alignment horizontal="center" wrapText="1"/>
    </xf>
    <xf numFmtId="0" fontId="25" fillId="2" borderId="7" xfId="0" applyFont="1" applyFill="1" applyBorder="1" applyProtection="1"/>
    <xf numFmtId="0" fontId="0" fillId="2" borderId="1" xfId="0" applyFont="1" applyFill="1" applyBorder="1" applyProtection="1"/>
    <xf numFmtId="0" fontId="0" fillId="2" borderId="1" xfId="0" applyFont="1" applyFill="1" applyBorder="1" applyAlignment="1" applyProtection="1">
      <alignment horizontal="left"/>
    </xf>
    <xf numFmtId="0" fontId="0" fillId="2" borderId="1" xfId="0" applyFont="1" applyFill="1" applyBorder="1" applyAlignment="1" applyProtection="1">
      <alignment horizontal="center" wrapText="1"/>
    </xf>
    <xf numFmtId="0" fontId="0" fillId="2" borderId="17" xfId="0" applyFont="1" applyFill="1" applyBorder="1" applyAlignment="1" applyProtection="1">
      <alignment horizontal="center" wrapText="1"/>
    </xf>
    <xf numFmtId="0" fontId="17" fillId="4" borderId="4" xfId="3" applyFont="1" applyFill="1" applyBorder="1" applyProtection="1"/>
    <xf numFmtId="0" fontId="17" fillId="4" borderId="18" xfId="3" applyFont="1" applyFill="1" applyBorder="1" applyProtection="1"/>
    <xf numFmtId="0" fontId="34" fillId="4" borderId="7" xfId="0" applyFont="1" applyFill="1" applyBorder="1" applyProtection="1"/>
    <xf numFmtId="0" fontId="17" fillId="4" borderId="1" xfId="3" applyFont="1" applyFill="1" applyBorder="1" applyProtection="1"/>
    <xf numFmtId="0" fontId="17" fillId="4" borderId="0" xfId="3" applyFont="1" applyFill="1" applyBorder="1" applyProtection="1"/>
    <xf numFmtId="0" fontId="17" fillId="0" borderId="16" xfId="3" applyFont="1" applyFill="1" applyBorder="1" applyProtection="1"/>
    <xf numFmtId="0" fontId="0" fillId="3" borderId="15" xfId="0" applyFont="1" applyFill="1" applyBorder="1" applyProtection="1"/>
    <xf numFmtId="0" fontId="17" fillId="8" borderId="4" xfId="3" applyFont="1" applyFill="1" applyBorder="1" applyProtection="1"/>
    <xf numFmtId="0" fontId="17" fillId="8" borderId="18" xfId="3" applyFont="1" applyFill="1" applyBorder="1" applyProtection="1"/>
    <xf numFmtId="0" fontId="34" fillId="8" borderId="7" xfId="0" applyFont="1" applyFill="1" applyBorder="1" applyProtection="1"/>
    <xf numFmtId="0" fontId="17" fillId="8" borderId="1" xfId="3" applyFont="1" applyFill="1" applyBorder="1" applyProtection="1"/>
    <xf numFmtId="0" fontId="17" fillId="8" borderId="0" xfId="3" applyFont="1" applyFill="1" applyBorder="1" applyProtection="1"/>
    <xf numFmtId="0" fontId="17" fillId="8" borderId="11" xfId="3" applyFont="1" applyFill="1" applyBorder="1" applyProtection="1"/>
    <xf numFmtId="167" fontId="14" fillId="2" borderId="13" xfId="3" applyNumberFormat="1" applyFont="1" applyFill="1" applyBorder="1" applyAlignment="1" applyProtection="1">
      <alignment horizontal="center" wrapText="1"/>
    </xf>
    <xf numFmtId="167" fontId="15" fillId="2" borderId="13" xfId="3" applyNumberFormat="1" applyFont="1" applyFill="1" applyBorder="1" applyAlignment="1" applyProtection="1">
      <alignment horizontal="center" wrapText="1"/>
    </xf>
    <xf numFmtId="49" fontId="14" fillId="8" borderId="7" xfId="3" applyNumberFormat="1" applyFont="1" applyFill="1" applyBorder="1" applyAlignment="1" applyProtection="1">
      <alignment horizontal="left"/>
    </xf>
    <xf numFmtId="0" fontId="7" fillId="8" borderId="1" xfId="3" applyFont="1" applyFill="1" applyBorder="1" applyProtection="1"/>
    <xf numFmtId="167" fontId="14" fillId="2" borderId="8" xfId="3" applyNumberFormat="1" applyFont="1" applyFill="1" applyBorder="1" applyAlignment="1" applyProtection="1">
      <alignment horizontal="center" wrapText="1"/>
    </xf>
    <xf numFmtId="167" fontId="15" fillId="2" borderId="8" xfId="3" applyNumberFormat="1" applyFont="1" applyFill="1" applyBorder="1" applyAlignment="1" applyProtection="1">
      <alignment horizontal="center" wrapText="1"/>
    </xf>
    <xf numFmtId="0" fontId="7" fillId="4" borderId="39" xfId="3" applyFont="1" applyFill="1" applyBorder="1" applyProtection="1"/>
    <xf numFmtId="49" fontId="14" fillId="4" borderId="32" xfId="3" applyNumberFormat="1" applyFont="1" applyFill="1" applyBorder="1" applyAlignment="1" applyProtection="1">
      <alignment horizontal="center"/>
    </xf>
    <xf numFmtId="0" fontId="7" fillId="4" borderId="24" xfId="0" applyFont="1" applyFill="1" applyBorder="1" applyAlignment="1" applyProtection="1">
      <alignment horizontal="right"/>
    </xf>
    <xf numFmtId="167" fontId="14" fillId="2" borderId="14" xfId="3" applyNumberFormat="1" applyFont="1" applyFill="1" applyBorder="1" applyProtection="1"/>
    <xf numFmtId="167" fontId="14" fillId="2" borderId="16" xfId="3" applyNumberFormat="1" applyFont="1" applyFill="1" applyBorder="1" applyProtection="1"/>
    <xf numFmtId="0" fontId="7" fillId="4" borderId="6" xfId="3" applyFont="1" applyFill="1" applyBorder="1" applyProtection="1"/>
    <xf numFmtId="0" fontId="7" fillId="4" borderId="0" xfId="3" applyFont="1" applyFill="1" applyBorder="1" applyProtection="1"/>
    <xf numFmtId="44" fontId="7" fillId="4" borderId="0" xfId="1" applyFont="1" applyFill="1" applyBorder="1" applyProtection="1"/>
    <xf numFmtId="44" fontId="27" fillId="4" borderId="0" xfId="1" applyFont="1" applyFill="1" applyBorder="1" applyProtection="1"/>
    <xf numFmtId="0" fontId="7" fillId="4" borderId="14" xfId="3" applyFont="1" applyFill="1" applyBorder="1" applyProtection="1"/>
    <xf numFmtId="0" fontId="7" fillId="4" borderId="15" xfId="3" applyFont="1" applyFill="1" applyBorder="1" applyProtection="1"/>
    <xf numFmtId="0" fontId="1" fillId="4" borderId="14" xfId="3" applyFont="1" applyFill="1" applyBorder="1" applyProtection="1"/>
    <xf numFmtId="0" fontId="14" fillId="2" borderId="6" xfId="3" applyFont="1" applyFill="1" applyBorder="1" applyAlignment="1" applyProtection="1">
      <alignment horizontal="left"/>
    </xf>
    <xf numFmtId="0" fontId="14" fillId="2" borderId="0" xfId="3" applyFont="1" applyFill="1" applyBorder="1" applyAlignment="1" applyProtection="1">
      <alignment horizontal="right"/>
    </xf>
    <xf numFmtId="0" fontId="13" fillId="2" borderId="7" xfId="3" applyFont="1" applyFill="1" applyBorder="1" applyAlignment="1" applyProtection="1">
      <alignment horizontal="left"/>
    </xf>
    <xf numFmtId="0" fontId="13" fillId="2" borderId="1" xfId="3" applyFont="1" applyFill="1" applyBorder="1" applyAlignment="1" applyProtection="1">
      <alignment horizontal="right"/>
    </xf>
    <xf numFmtId="0" fontId="33" fillId="4" borderId="4" xfId="0" applyFont="1" applyFill="1" applyBorder="1" applyProtection="1"/>
    <xf numFmtId="0" fontId="34" fillId="4" borderId="1" xfId="0" applyFont="1" applyFill="1" applyBorder="1" applyProtection="1"/>
    <xf numFmtId="0" fontId="0" fillId="4" borderId="15" xfId="0" applyFont="1" applyFill="1" applyBorder="1" applyAlignment="1" applyProtection="1">
      <alignment horizontal="left"/>
    </xf>
    <xf numFmtId="44" fontId="7" fillId="4" borderId="5" xfId="1" applyFont="1" applyFill="1" applyBorder="1" applyProtection="1"/>
    <xf numFmtId="0" fontId="7" fillId="4" borderId="6" xfId="0" applyFont="1" applyFill="1" applyBorder="1" applyAlignment="1" applyProtection="1">
      <alignment horizontal="right"/>
    </xf>
    <xf numFmtId="0" fontId="3" fillId="2" borderId="14" xfId="0" applyFont="1" applyFill="1" applyBorder="1" applyProtection="1"/>
    <xf numFmtId="0" fontId="3" fillId="2" borderId="15" xfId="0" applyFont="1" applyFill="1" applyBorder="1" applyProtection="1"/>
    <xf numFmtId="9" fontId="7" fillId="4" borderId="0" xfId="2" applyFont="1" applyFill="1" applyBorder="1" applyAlignment="1" applyProtection="1">
      <alignment horizontal="right"/>
    </xf>
    <xf numFmtId="0" fontId="0" fillId="0" borderId="6" xfId="0" applyFont="1" applyBorder="1" applyProtection="1"/>
    <xf numFmtId="10" fontId="0" fillId="0" borderId="0" xfId="0" applyNumberFormat="1" applyFont="1" applyBorder="1" applyProtection="1"/>
    <xf numFmtId="44" fontId="0" fillId="0" borderId="5" xfId="1" applyFont="1" applyBorder="1" applyProtection="1"/>
    <xf numFmtId="44" fontId="3" fillId="4" borderId="5" xfId="1" applyFont="1" applyFill="1" applyBorder="1" applyProtection="1"/>
    <xf numFmtId="0" fontId="0" fillId="4" borderId="7" xfId="0" applyFont="1" applyFill="1" applyBorder="1" applyProtection="1"/>
    <xf numFmtId="0" fontId="0" fillId="4" borderId="1" xfId="0" applyFont="1" applyFill="1" applyBorder="1" applyProtection="1"/>
    <xf numFmtId="10" fontId="0" fillId="4" borderId="1" xfId="0" applyNumberFormat="1" applyFont="1" applyFill="1" applyBorder="1" applyProtection="1"/>
    <xf numFmtId="44" fontId="3" fillId="4" borderId="8" xfId="1" applyFont="1" applyFill="1" applyBorder="1" applyProtection="1"/>
    <xf numFmtId="0" fontId="0" fillId="4" borderId="14" xfId="0" applyFont="1" applyFill="1" applyBorder="1" applyProtection="1"/>
    <xf numFmtId="0" fontId="0" fillId="4" borderId="3" xfId="0" applyFont="1" applyFill="1" applyBorder="1" applyProtection="1"/>
    <xf numFmtId="44" fontId="0" fillId="4" borderId="13" xfId="1" applyFont="1" applyFill="1" applyBorder="1" applyProtection="1"/>
    <xf numFmtId="44" fontId="1" fillId="4" borderId="13" xfId="1" applyFont="1" applyFill="1" applyBorder="1" applyProtection="1"/>
    <xf numFmtId="0" fontId="0" fillId="0" borderId="5" xfId="0" applyFont="1" applyBorder="1" applyProtection="1"/>
    <xf numFmtId="0" fontId="34" fillId="4" borderId="6" xfId="0" applyFont="1" applyFill="1" applyBorder="1" applyProtection="1"/>
    <xf numFmtId="0" fontId="0" fillId="4" borderId="16" xfId="0" applyFont="1" applyFill="1" applyBorder="1" applyProtection="1"/>
    <xf numFmtId="0" fontId="0" fillId="4" borderId="35" xfId="0" applyFill="1" applyBorder="1" applyProtection="1"/>
    <xf numFmtId="0" fontId="0" fillId="4" borderId="42" xfId="0" applyFill="1" applyBorder="1" applyProtection="1"/>
    <xf numFmtId="0" fontId="12" fillId="2" borderId="34" xfId="0" applyFont="1" applyFill="1" applyBorder="1" applyProtection="1"/>
    <xf numFmtId="0" fontId="12" fillId="2" borderId="34" xfId="0" applyFont="1" applyFill="1" applyBorder="1" applyAlignment="1" applyProtection="1">
      <alignment horizontal="right"/>
    </xf>
    <xf numFmtId="44" fontId="1" fillId="4" borderId="86" xfId="1" applyFont="1" applyFill="1" applyBorder="1" applyProtection="1"/>
    <xf numFmtId="44" fontId="0" fillId="0" borderId="47" xfId="1" applyFont="1" applyBorder="1" applyProtection="1"/>
    <xf numFmtId="0" fontId="13" fillId="2" borderId="20" xfId="0" applyFont="1" applyFill="1" applyBorder="1" applyProtection="1"/>
    <xf numFmtId="0" fontId="10" fillId="2" borderId="10" xfId="0" applyFont="1" applyFill="1" applyBorder="1" applyProtection="1"/>
    <xf numFmtId="44" fontId="10" fillId="2" borderId="10" xfId="1" applyFont="1" applyFill="1" applyBorder="1" applyProtection="1"/>
    <xf numFmtId="44" fontId="11" fillId="2" borderId="38" xfId="1" applyFont="1" applyFill="1" applyBorder="1" applyProtection="1"/>
    <xf numFmtId="44" fontId="11" fillId="2" borderId="46" xfId="1" applyFont="1" applyFill="1" applyBorder="1" applyProtection="1"/>
    <xf numFmtId="44" fontId="3" fillId="4" borderId="35" xfId="1" applyFont="1" applyFill="1" applyBorder="1" applyProtection="1"/>
    <xf numFmtId="44" fontId="0" fillId="4" borderId="35" xfId="1" applyFont="1" applyFill="1" applyBorder="1" applyProtection="1"/>
    <xf numFmtId="44" fontId="0" fillId="4" borderId="42" xfId="1" applyFont="1" applyFill="1" applyBorder="1" applyProtection="1"/>
    <xf numFmtId="0" fontId="4" fillId="4" borderId="15" xfId="0" applyFont="1" applyFill="1" applyBorder="1" applyProtection="1"/>
    <xf numFmtId="44" fontId="4" fillId="4" borderId="15" xfId="1" applyFont="1" applyFill="1" applyBorder="1" applyProtection="1"/>
    <xf numFmtId="0" fontId="0" fillId="0" borderId="31" xfId="0" applyBorder="1" applyProtection="1"/>
    <xf numFmtId="44" fontId="4" fillId="0" borderId="31" xfId="0" applyNumberFormat="1" applyFont="1" applyBorder="1" applyProtection="1"/>
    <xf numFmtId="0" fontId="0" fillId="0" borderId="35" xfId="0" applyBorder="1" applyProtection="1"/>
    <xf numFmtId="0" fontId="0" fillId="0" borderId="42" xfId="0" applyBorder="1" applyProtection="1"/>
    <xf numFmtId="0" fontId="33" fillId="2" borderId="26" xfId="0" applyFont="1" applyFill="1" applyBorder="1" applyProtection="1"/>
    <xf numFmtId="0" fontId="33" fillId="2" borderId="28" xfId="0" applyFont="1" applyFill="1" applyBorder="1" applyProtection="1"/>
    <xf numFmtId="44" fontId="33" fillId="2" borderId="28" xfId="1" applyFont="1" applyFill="1" applyBorder="1" applyProtection="1"/>
    <xf numFmtId="44" fontId="33" fillId="2" borderId="48" xfId="1" applyFont="1" applyFill="1" applyBorder="1" applyProtection="1"/>
    <xf numFmtId="0" fontId="0" fillId="4" borderId="6" xfId="0" applyFill="1" applyBorder="1" applyProtection="1"/>
    <xf numFmtId="0" fontId="4" fillId="2" borderId="20" xfId="0" applyFont="1" applyFill="1" applyBorder="1" applyProtection="1"/>
    <xf numFmtId="0" fontId="0" fillId="2" borderId="10" xfId="0" applyFill="1" applyBorder="1" applyProtection="1"/>
    <xf numFmtId="44" fontId="0" fillId="2" borderId="38" xfId="0" applyNumberFormat="1" applyFill="1" applyBorder="1" applyProtection="1"/>
    <xf numFmtId="44" fontId="0" fillId="2" borderId="49" xfId="1" applyFont="1" applyFill="1" applyBorder="1" applyProtection="1"/>
    <xf numFmtId="0" fontId="4" fillId="2" borderId="26" xfId="0" applyFont="1" applyFill="1" applyBorder="1" applyProtection="1"/>
    <xf numFmtId="0" fontId="4" fillId="2" borderId="28" xfId="0" applyFont="1" applyFill="1" applyBorder="1" applyProtection="1"/>
    <xf numFmtId="44" fontId="4" fillId="2" borderId="28" xfId="1" applyFont="1" applyFill="1" applyBorder="1" applyProtection="1"/>
    <xf numFmtId="44" fontId="4" fillId="2" borderId="23" xfId="1" applyFont="1" applyFill="1" applyBorder="1" applyProtection="1"/>
    <xf numFmtId="0" fontId="19" fillId="4" borderId="97" xfId="0" applyFont="1" applyFill="1" applyBorder="1" applyProtection="1"/>
    <xf numFmtId="0" fontId="49" fillId="4" borderId="98" xfId="0" applyFont="1" applyFill="1" applyBorder="1" applyProtection="1"/>
    <xf numFmtId="44" fontId="49" fillId="4" borderId="98" xfId="1" applyFont="1" applyFill="1" applyBorder="1" applyProtection="1"/>
    <xf numFmtId="0" fontId="7" fillId="4" borderId="6" xfId="0" applyFont="1" applyFill="1" applyBorder="1" applyAlignment="1" applyProtection="1">
      <alignment horizontal="left"/>
    </xf>
    <xf numFmtId="0" fontId="7" fillId="4" borderId="17" xfId="0" applyFont="1" applyFill="1" applyBorder="1" applyProtection="1"/>
    <xf numFmtId="0" fontId="7" fillId="4" borderId="10" xfId="0" applyFont="1" applyFill="1" applyBorder="1" applyAlignment="1" applyProtection="1">
      <alignment horizontal="right"/>
    </xf>
    <xf numFmtId="0" fontId="14" fillId="4" borderId="0" xfId="0" applyFont="1" applyFill="1" applyBorder="1" applyProtection="1"/>
    <xf numFmtId="0" fontId="7" fillId="4" borderId="0" xfId="0" applyFont="1" applyFill="1" applyBorder="1" applyAlignment="1" applyProtection="1">
      <alignment horizontal="center"/>
    </xf>
    <xf numFmtId="0" fontId="7" fillId="4" borderId="77" xfId="0" applyFont="1" applyFill="1" applyBorder="1" applyProtection="1"/>
    <xf numFmtId="0" fontId="13" fillId="4" borderId="9" xfId="0" applyFont="1" applyFill="1" applyBorder="1" applyProtection="1"/>
    <xf numFmtId="0" fontId="7" fillId="4" borderId="9" xfId="0" applyFont="1" applyFill="1" applyBorder="1" applyProtection="1"/>
    <xf numFmtId="0" fontId="7" fillId="4" borderId="75" xfId="0" applyFont="1" applyFill="1" applyBorder="1" applyProtection="1"/>
    <xf numFmtId="0" fontId="14" fillId="8" borderId="10" xfId="0" quotePrefix="1" applyFont="1" applyFill="1" applyBorder="1" applyProtection="1"/>
    <xf numFmtId="0" fontId="7" fillId="8" borderId="10" xfId="0" applyFont="1" applyFill="1" applyBorder="1" applyProtection="1"/>
    <xf numFmtId="0" fontId="7" fillId="8" borderId="78" xfId="0" applyFont="1" applyFill="1" applyBorder="1" applyProtection="1"/>
    <xf numFmtId="0" fontId="7" fillId="4" borderId="15" xfId="0" applyFont="1" applyFill="1" applyBorder="1" applyProtection="1"/>
    <xf numFmtId="0" fontId="7" fillId="0" borderId="15" xfId="0" applyFont="1" applyBorder="1" applyProtection="1"/>
    <xf numFmtId="0" fontId="7" fillId="4" borderId="16" xfId="0" applyFont="1" applyFill="1" applyBorder="1" applyProtection="1"/>
    <xf numFmtId="0" fontId="44" fillId="4" borderId="4" xfId="0" applyFont="1" applyFill="1" applyBorder="1" applyProtection="1"/>
    <xf numFmtId="0" fontId="13" fillId="4" borderId="27" xfId="0" applyFont="1" applyFill="1" applyBorder="1" applyAlignment="1" applyProtection="1">
      <alignment horizontal="left"/>
    </xf>
    <xf numFmtId="0" fontId="7" fillId="3" borderId="39" xfId="0" applyFont="1" applyFill="1" applyBorder="1" applyAlignment="1" applyProtection="1">
      <alignment horizontal="right"/>
    </xf>
    <xf numFmtId="0" fontId="7" fillId="3" borderId="32" xfId="0" applyFont="1" applyFill="1" applyBorder="1" applyAlignment="1" applyProtection="1">
      <alignment horizontal="right"/>
    </xf>
    <xf numFmtId="0" fontId="0" fillId="4" borderId="2" xfId="0" applyFill="1" applyBorder="1" applyAlignment="1" applyProtection="1">
      <alignment horizontal="left"/>
    </xf>
    <xf numFmtId="10" fontId="0" fillId="4" borderId="2" xfId="2" applyNumberFormat="1" applyFont="1" applyFill="1" applyBorder="1" applyAlignment="1" applyProtection="1">
      <alignment horizontal="center"/>
    </xf>
    <xf numFmtId="10" fontId="0" fillId="0" borderId="2" xfId="2" applyNumberFormat="1" applyFont="1" applyFill="1" applyBorder="1" applyAlignment="1" applyProtection="1">
      <alignment horizontal="center"/>
    </xf>
    <xf numFmtId="0" fontId="3" fillId="7" borderId="2" xfId="0" applyFont="1" applyFill="1" applyBorder="1" applyAlignment="1" applyProtection="1">
      <alignment wrapText="1"/>
    </xf>
    <xf numFmtId="0" fontId="0" fillId="7" borderId="2" xfId="0" applyFill="1" applyBorder="1" applyProtection="1"/>
    <xf numFmtId="0" fontId="17" fillId="4" borderId="11" xfId="3" applyFont="1" applyFill="1" applyBorder="1" applyProtection="1"/>
    <xf numFmtId="0" fontId="41" fillId="4" borderId="6" xfId="0" applyFont="1" applyFill="1" applyBorder="1" applyProtection="1"/>
    <xf numFmtId="0" fontId="3" fillId="2" borderId="20" xfId="0" applyFont="1" applyFill="1" applyBorder="1" applyProtection="1"/>
    <xf numFmtId="0" fontId="0" fillId="2" borderId="10" xfId="0" applyFont="1" applyFill="1" applyBorder="1" applyProtection="1"/>
    <xf numFmtId="0" fontId="0" fillId="4" borderId="24" xfId="0" applyFont="1" applyFill="1" applyBorder="1" applyAlignment="1" applyProtection="1">
      <alignment vertical="top"/>
    </xf>
    <xf numFmtId="0" fontId="0" fillId="4" borderId="24" xfId="0" applyFont="1" applyFill="1" applyBorder="1" applyAlignment="1" applyProtection="1">
      <alignment vertical="top" wrapText="1"/>
    </xf>
    <xf numFmtId="0" fontId="3" fillId="4" borderId="24" xfId="0" applyFont="1" applyFill="1" applyBorder="1" applyAlignment="1" applyProtection="1">
      <alignment horizontal="right" vertical="top" wrapText="1"/>
    </xf>
    <xf numFmtId="167" fontId="14" fillId="4" borderId="24" xfId="3" applyNumberFormat="1" applyFont="1" applyFill="1" applyBorder="1" applyAlignment="1" applyProtection="1">
      <alignment horizontal="center" vertical="top" wrapText="1"/>
    </xf>
    <xf numFmtId="167" fontId="15" fillId="4" borderId="24" xfId="3" applyNumberFormat="1" applyFont="1" applyFill="1" applyBorder="1" applyAlignment="1" applyProtection="1">
      <alignment horizontal="center" vertical="top" wrapText="1"/>
    </xf>
    <xf numFmtId="0" fontId="26" fillId="2" borderId="26" xfId="0" applyFont="1" applyFill="1" applyBorder="1" applyProtection="1"/>
    <xf numFmtId="0" fontId="3" fillId="2" borderId="25" xfId="0" applyFont="1" applyFill="1" applyBorder="1" applyProtection="1"/>
    <xf numFmtId="0" fontId="0" fillId="2" borderId="28" xfId="0" applyFont="1" applyFill="1" applyBorder="1" applyProtection="1"/>
    <xf numFmtId="0" fontId="0" fillId="4" borderId="19" xfId="0" applyFont="1" applyFill="1" applyBorder="1" applyAlignment="1" applyProtection="1">
      <alignment vertical="top"/>
    </xf>
    <xf numFmtId="0" fontId="0" fillId="4" borderId="19" xfId="0" applyFont="1" applyFill="1" applyBorder="1" applyAlignment="1" applyProtection="1">
      <alignment vertical="top" wrapText="1"/>
    </xf>
    <xf numFmtId="0" fontId="3" fillId="4" borderId="19" xfId="0" applyFont="1" applyFill="1" applyBorder="1" applyAlignment="1" applyProtection="1">
      <alignment horizontal="right" vertical="top" wrapText="1"/>
    </xf>
    <xf numFmtId="167" fontId="15" fillId="4" borderId="19" xfId="3" applyNumberFormat="1" applyFont="1" applyFill="1" applyBorder="1" applyAlignment="1" applyProtection="1">
      <alignment horizontal="center" vertical="top" wrapText="1"/>
    </xf>
    <xf numFmtId="167" fontId="14" fillId="4" borderId="19" xfId="3" applyNumberFormat="1" applyFont="1" applyFill="1" applyBorder="1" applyAlignment="1" applyProtection="1">
      <alignment horizontal="center" vertical="top" wrapText="1"/>
    </xf>
    <xf numFmtId="0" fontId="21" fillId="2" borderId="20" xfId="0" applyFont="1" applyFill="1" applyBorder="1" applyProtection="1"/>
    <xf numFmtId="0" fontId="14" fillId="2" borderId="19" xfId="0" applyFont="1" applyFill="1" applyBorder="1" applyProtection="1"/>
    <xf numFmtId="0" fontId="7" fillId="4" borderId="19" xfId="0" applyFont="1" applyFill="1" applyBorder="1" applyAlignment="1" applyProtection="1">
      <alignment vertical="top"/>
    </xf>
    <xf numFmtId="0" fontId="7" fillId="4" borderId="19" xfId="0" applyFont="1" applyFill="1" applyBorder="1" applyAlignment="1" applyProtection="1">
      <alignment vertical="top" wrapText="1"/>
    </xf>
    <xf numFmtId="0" fontId="14" fillId="4" borderId="19" xfId="0" applyFont="1" applyFill="1" applyBorder="1" applyAlignment="1" applyProtection="1">
      <alignment horizontal="right" vertical="top" wrapText="1"/>
    </xf>
    <xf numFmtId="0" fontId="21" fillId="2" borderId="26" xfId="0" applyFont="1" applyFill="1" applyBorder="1" applyProtection="1"/>
    <xf numFmtId="0" fontId="14" fillId="2" borderId="25" xfId="0" applyFont="1" applyFill="1" applyBorder="1" applyProtection="1"/>
    <xf numFmtId="17" fontId="13" fillId="2" borderId="20" xfId="0" applyNumberFormat="1" applyFont="1" applyFill="1" applyBorder="1" applyProtection="1"/>
    <xf numFmtId="0" fontId="7" fillId="2" borderId="10" xfId="0" applyFont="1" applyFill="1" applyBorder="1" applyProtection="1"/>
    <xf numFmtId="0" fontId="7" fillId="2" borderId="19" xfId="0" applyFont="1" applyFill="1" applyBorder="1" applyProtection="1"/>
    <xf numFmtId="0" fontId="14" fillId="2" borderId="19" xfId="0" applyFont="1" applyFill="1" applyBorder="1" applyAlignment="1" applyProtection="1">
      <alignment horizontal="right"/>
    </xf>
    <xf numFmtId="0" fontId="7" fillId="4" borderId="33" xfId="0" applyFont="1" applyFill="1" applyBorder="1" applyProtection="1"/>
    <xf numFmtId="0" fontId="7" fillId="4" borderId="29" xfId="0" applyFont="1" applyFill="1" applyBorder="1" applyProtection="1"/>
    <xf numFmtId="10" fontId="7" fillId="4" borderId="5" xfId="2" applyNumberFormat="1" applyFont="1" applyFill="1" applyBorder="1" applyProtection="1"/>
    <xf numFmtId="164" fontId="14" fillId="4" borderId="8" xfId="0" applyNumberFormat="1" applyFont="1" applyFill="1" applyBorder="1" applyProtection="1"/>
    <xf numFmtId="0" fontId="7" fillId="4" borderId="5" xfId="0" applyFont="1" applyFill="1" applyBorder="1" applyProtection="1"/>
    <xf numFmtId="0" fontId="13" fillId="2" borderId="33" xfId="0" applyFont="1" applyFill="1" applyBorder="1" applyProtection="1"/>
    <xf numFmtId="0" fontId="14" fillId="2" borderId="29" xfId="0" applyFont="1" applyFill="1" applyBorder="1" applyProtection="1"/>
    <xf numFmtId="2" fontId="14" fillId="2" borderId="30" xfId="0" applyNumberFormat="1" applyFont="1" applyFill="1" applyBorder="1" applyProtection="1"/>
    <xf numFmtId="0" fontId="14" fillId="2" borderId="30" xfId="0" applyFont="1" applyFill="1" applyBorder="1" applyAlignment="1" applyProtection="1">
      <alignment horizontal="right"/>
    </xf>
    <xf numFmtId="0" fontId="7" fillId="2" borderId="0" xfId="0" applyFont="1" applyFill="1" applyBorder="1" applyProtection="1"/>
    <xf numFmtId="0" fontId="13" fillId="2" borderId="0" xfId="0" applyFont="1" applyFill="1" applyBorder="1" applyAlignment="1" applyProtection="1">
      <alignment horizontal="right"/>
    </xf>
    <xf numFmtId="0" fontId="7" fillId="2" borderId="5" xfId="0" applyFont="1" applyFill="1" applyBorder="1" applyProtection="1"/>
    <xf numFmtId="0" fontId="14" fillId="2" borderId="7" xfId="0" applyFont="1" applyFill="1" applyBorder="1" applyProtection="1"/>
    <xf numFmtId="0" fontId="13" fillId="2" borderId="17" xfId="0" applyFont="1" applyFill="1" applyBorder="1" applyAlignment="1" applyProtection="1">
      <alignment horizontal="right"/>
    </xf>
    <xf numFmtId="0" fontId="7" fillId="2" borderId="8" xfId="0" applyFont="1" applyFill="1" applyBorder="1" applyProtection="1"/>
    <xf numFmtId="0" fontId="14" fillId="2" borderId="0" xfId="0" applyFont="1" applyFill="1" applyBorder="1" applyProtection="1"/>
    <xf numFmtId="0" fontId="14" fillId="2" borderId="74" xfId="0" applyFont="1" applyFill="1" applyBorder="1" applyProtection="1"/>
    <xf numFmtId="0" fontId="14" fillId="2" borderId="6" xfId="0" applyFont="1" applyFill="1" applyBorder="1" applyProtection="1"/>
    <xf numFmtId="0" fontId="13" fillId="2" borderId="1" xfId="0" applyFont="1" applyFill="1" applyBorder="1" applyAlignment="1" applyProtection="1">
      <alignment horizontal="right"/>
    </xf>
    <xf numFmtId="0" fontId="14" fillId="2" borderId="1" xfId="0" applyFont="1" applyFill="1" applyBorder="1" applyProtection="1"/>
    <xf numFmtId="10" fontId="7" fillId="2" borderId="8" xfId="0" applyNumberFormat="1" applyFont="1" applyFill="1" applyBorder="1" applyProtection="1"/>
    <xf numFmtId="0" fontId="43" fillId="4" borderId="3" xfId="0" applyFont="1" applyFill="1" applyBorder="1" applyProtection="1"/>
    <xf numFmtId="0" fontId="35" fillId="4" borderId="4" xfId="0" applyFont="1" applyFill="1" applyBorder="1" applyProtection="1"/>
    <xf numFmtId="0" fontId="35" fillId="4" borderId="18" xfId="0" applyFont="1" applyFill="1" applyBorder="1" applyProtection="1"/>
    <xf numFmtId="0" fontId="35" fillId="4" borderId="6" xfId="0" applyFont="1" applyFill="1" applyBorder="1" applyProtection="1"/>
    <xf numFmtId="0" fontId="35" fillId="4" borderId="0" xfId="0" applyFont="1" applyFill="1" applyBorder="1" applyProtection="1"/>
    <xf numFmtId="0" fontId="35" fillId="4" borderId="11" xfId="0" applyFont="1" applyFill="1" applyBorder="1" applyProtection="1"/>
    <xf numFmtId="0" fontId="35" fillId="4" borderId="0" xfId="0" applyFont="1" applyFill="1" applyBorder="1" applyAlignment="1" applyProtection="1">
      <alignment horizontal="right" wrapText="1"/>
    </xf>
    <xf numFmtId="0" fontId="35" fillId="4" borderId="7" xfId="0" applyFont="1" applyFill="1" applyBorder="1" applyProtection="1"/>
    <xf numFmtId="0" fontId="35" fillId="4" borderId="1" xfId="0" applyFont="1" applyFill="1" applyBorder="1" applyProtection="1"/>
    <xf numFmtId="10" fontId="35" fillId="4" borderId="0" xfId="0" applyNumberFormat="1" applyFont="1" applyFill="1" applyBorder="1" applyAlignment="1" applyProtection="1">
      <alignment horizontal="right"/>
    </xf>
    <xf numFmtId="0" fontId="35" fillId="4" borderId="0" xfId="0" applyFont="1" applyFill="1" applyBorder="1" applyAlignment="1" applyProtection="1">
      <alignment horizontal="right"/>
    </xf>
    <xf numFmtId="0" fontId="35" fillId="4" borderId="60" xfId="0" applyFont="1" applyFill="1" applyBorder="1" applyProtection="1"/>
    <xf numFmtId="0" fontId="35" fillId="4" borderId="61" xfId="0" applyFont="1" applyFill="1" applyBorder="1" applyProtection="1"/>
    <xf numFmtId="0" fontId="35" fillId="4" borderId="61" xfId="0" applyFont="1" applyFill="1" applyBorder="1" applyAlignment="1" applyProtection="1">
      <alignment horizontal="right"/>
    </xf>
    <xf numFmtId="0" fontId="35" fillId="4" borderId="1" xfId="0" applyFont="1" applyFill="1" applyBorder="1" applyAlignment="1" applyProtection="1">
      <alignment horizontal="right"/>
    </xf>
    <xf numFmtId="0" fontId="35" fillId="4" borderId="17" xfId="0" applyFont="1" applyFill="1" applyBorder="1" applyProtection="1"/>
    <xf numFmtId="2" fontId="7" fillId="0" borderId="0" xfId="0" applyNumberFormat="1" applyFont="1" applyProtection="1">
      <protection locked="0"/>
    </xf>
    <xf numFmtId="0" fontId="21" fillId="4" borderId="0" xfId="0" applyFont="1" applyFill="1" applyBorder="1" applyProtection="1"/>
    <xf numFmtId="0" fontId="24" fillId="4" borderId="0" xfId="0" applyFont="1" applyFill="1" applyBorder="1" applyProtection="1"/>
    <xf numFmtId="0" fontId="14" fillId="2" borderId="14" xfId="0" applyFont="1" applyFill="1" applyBorder="1" applyAlignment="1" applyProtection="1">
      <alignment horizontal="left"/>
    </xf>
    <xf numFmtId="0" fontId="35" fillId="4" borderId="11" xfId="0" applyFont="1" applyFill="1" applyBorder="1" applyAlignment="1" applyProtection="1">
      <alignment horizontal="left" indent="1"/>
    </xf>
    <xf numFmtId="0" fontId="21" fillId="2" borderId="14" xfId="0" applyFont="1" applyFill="1" applyBorder="1" applyAlignment="1" applyProtection="1">
      <alignment horizontal="left"/>
    </xf>
    <xf numFmtId="0" fontId="21" fillId="2" borderId="15" xfId="0" applyFont="1" applyFill="1" applyBorder="1" applyProtection="1"/>
    <xf numFmtId="0" fontId="24" fillId="2" borderId="15" xfId="0" applyFont="1" applyFill="1" applyBorder="1" applyProtection="1"/>
    <xf numFmtId="10" fontId="35" fillId="4" borderId="2" xfId="0" applyNumberFormat="1" applyFont="1" applyFill="1" applyBorder="1" applyProtection="1"/>
    <xf numFmtId="44" fontId="0" fillId="4" borderId="5" xfId="1" applyFont="1" applyFill="1" applyBorder="1" applyProtection="1"/>
    <xf numFmtId="0" fontId="21" fillId="2" borderId="14" xfId="0" applyFont="1" applyFill="1" applyBorder="1" applyProtection="1"/>
    <xf numFmtId="165" fontId="24" fillId="2" borderId="2" xfId="0" applyNumberFormat="1" applyFont="1" applyFill="1" applyBorder="1" applyProtection="1"/>
    <xf numFmtId="0" fontId="7" fillId="4" borderId="2" xfId="0" applyFont="1" applyFill="1" applyBorder="1" applyProtection="1"/>
    <xf numFmtId="0" fontId="0" fillId="2" borderId="2" xfId="0" applyFont="1" applyFill="1" applyBorder="1" applyProtection="1"/>
    <xf numFmtId="0" fontId="19" fillId="4" borderId="6" xfId="0" applyFont="1" applyFill="1" applyBorder="1" applyProtection="1"/>
    <xf numFmtId="0" fontId="17" fillId="4" borderId="14" xfId="0" applyFont="1" applyFill="1" applyBorder="1" applyProtection="1"/>
    <xf numFmtId="0" fontId="23" fillId="4" borderId="16" xfId="0" applyFont="1" applyFill="1" applyBorder="1" applyProtection="1"/>
    <xf numFmtId="0" fontId="17" fillId="4" borderId="2" xfId="0" applyFont="1" applyFill="1" applyBorder="1" applyAlignment="1" applyProtection="1">
      <alignment horizontal="right"/>
    </xf>
    <xf numFmtId="0" fontId="23" fillId="4" borderId="17" xfId="0" applyFont="1" applyFill="1" applyBorder="1" applyProtection="1"/>
    <xf numFmtId="165" fontId="24" fillId="2" borderId="16" xfId="0" applyNumberFormat="1" applyFont="1" applyFill="1" applyBorder="1" applyProtection="1"/>
    <xf numFmtId="0" fontId="17" fillId="4" borderId="0" xfId="0" applyFont="1" applyFill="1" applyBorder="1" applyAlignment="1" applyProtection="1">
      <alignment horizontal="right"/>
    </xf>
    <xf numFmtId="0" fontId="7" fillId="0" borderId="14" xfId="0" applyFont="1" applyBorder="1" applyProtection="1"/>
    <xf numFmtId="0" fontId="7" fillId="0" borderId="14" xfId="0" applyFont="1" applyFill="1" applyBorder="1" applyProtection="1"/>
    <xf numFmtId="10" fontId="1" fillId="2" borderId="2" xfId="0" applyNumberFormat="1" applyFont="1" applyFill="1" applyBorder="1" applyProtection="1"/>
    <xf numFmtId="0" fontId="17" fillId="4" borderId="12" xfId="0" applyFont="1" applyFill="1" applyBorder="1" applyProtection="1"/>
    <xf numFmtId="167" fontId="7" fillId="2" borderId="13" xfId="3" applyNumberFormat="1" applyFont="1" applyFill="1" applyBorder="1" applyAlignment="1" applyProtection="1">
      <alignment horizontal="center" wrapText="1"/>
    </xf>
    <xf numFmtId="167" fontId="7" fillId="2" borderId="8" xfId="3" applyNumberFormat="1" applyFont="1" applyFill="1" applyBorder="1" applyAlignment="1" applyProtection="1">
      <alignment horizontal="center" wrapText="1"/>
    </xf>
    <xf numFmtId="0" fontId="7" fillId="0" borderId="7" xfId="0" applyFont="1" applyBorder="1" applyProtection="1"/>
    <xf numFmtId="0" fontId="0" fillId="0" borderId="1" xfId="0" applyFont="1" applyBorder="1" applyProtection="1"/>
    <xf numFmtId="0" fontId="0" fillId="0" borderId="15" xfId="0" applyFont="1" applyBorder="1" applyProtection="1"/>
    <xf numFmtId="0" fontId="36" fillId="2" borderId="14" xfId="0" applyFont="1" applyFill="1" applyBorder="1" applyAlignment="1" applyProtection="1">
      <alignment horizontal="left"/>
    </xf>
    <xf numFmtId="0" fontId="36" fillId="2" borderId="1" xfId="0" applyFont="1" applyFill="1" applyBorder="1" applyProtection="1"/>
    <xf numFmtId="0" fontId="36" fillId="2" borderId="1" xfId="0" applyFont="1" applyFill="1" applyBorder="1" applyAlignment="1" applyProtection="1">
      <alignment horizontal="right"/>
    </xf>
    <xf numFmtId="0" fontId="13" fillId="2" borderId="14" xfId="0" applyFont="1" applyFill="1" applyBorder="1" applyAlignment="1" applyProtection="1">
      <alignment horizontal="left"/>
    </xf>
    <xf numFmtId="0" fontId="13" fillId="2" borderId="1" xfId="0" applyFont="1" applyFill="1" applyBorder="1" applyProtection="1"/>
    <xf numFmtId="0" fontId="23" fillId="2" borderId="15" xfId="0" applyFont="1" applyFill="1" applyBorder="1" applyProtection="1"/>
    <xf numFmtId="0" fontId="23" fillId="2" borderId="16" xfId="0" applyFont="1" applyFill="1" applyBorder="1" applyProtection="1"/>
    <xf numFmtId="0" fontId="0" fillId="4" borderId="14" xfId="0" applyFont="1" applyFill="1" applyBorder="1" applyAlignment="1" applyProtection="1">
      <alignment wrapText="1"/>
    </xf>
    <xf numFmtId="0" fontId="0" fillId="4" borderId="15" xfId="0" applyFont="1" applyFill="1" applyBorder="1" applyAlignment="1" applyProtection="1">
      <alignment horizontal="center"/>
    </xf>
    <xf numFmtId="0" fontId="3" fillId="0" borderId="6" xfId="0" applyFont="1" applyFill="1" applyBorder="1" applyAlignment="1" applyProtection="1">
      <alignment wrapText="1"/>
    </xf>
    <xf numFmtId="44" fontId="0" fillId="4" borderId="0" xfId="0" applyNumberFormat="1" applyFont="1" applyFill="1" applyBorder="1" applyAlignment="1" applyProtection="1">
      <alignment horizontal="right"/>
    </xf>
    <xf numFmtId="0" fontId="23" fillId="4" borderId="11" xfId="0" applyFont="1" applyFill="1" applyBorder="1" applyProtection="1"/>
    <xf numFmtId="0" fontId="25" fillId="2" borderId="53" xfId="0" applyFont="1" applyFill="1" applyBorder="1" applyProtection="1"/>
    <xf numFmtId="0" fontId="0" fillId="2" borderId="54" xfId="0" applyFont="1" applyFill="1" applyBorder="1" applyProtection="1"/>
    <xf numFmtId="0" fontId="25" fillId="2" borderId="26" xfId="0" applyFont="1" applyFill="1" applyBorder="1" applyProtection="1"/>
    <xf numFmtId="0" fontId="7" fillId="2" borderId="14" xfId="0" applyFont="1" applyFill="1" applyBorder="1" applyProtection="1"/>
    <xf numFmtId="0" fontId="17" fillId="0" borderId="6" xfId="0" applyFont="1" applyFill="1" applyBorder="1" applyProtection="1"/>
    <xf numFmtId="44" fontId="7" fillId="0" borderId="0" xfId="1" applyFont="1" applyFill="1" applyBorder="1" applyProtection="1"/>
    <xf numFmtId="10" fontId="1" fillId="0" borderId="0" xfId="0" applyNumberFormat="1" applyFont="1" applyFill="1" applyBorder="1" applyProtection="1"/>
    <xf numFmtId="44" fontId="1" fillId="0" borderId="11" xfId="1" applyFont="1" applyFill="1" applyBorder="1" applyProtection="1"/>
    <xf numFmtId="0" fontId="7" fillId="2" borderId="15" xfId="0" applyFont="1" applyFill="1" applyBorder="1" applyProtection="1"/>
    <xf numFmtId="44" fontId="0" fillId="4" borderId="11" xfId="1" applyFont="1" applyFill="1" applyBorder="1" applyProtection="1"/>
    <xf numFmtId="0" fontId="18" fillId="2" borderId="2" xfId="0" applyFont="1" applyFill="1" applyBorder="1" applyProtection="1"/>
    <xf numFmtId="0" fontId="3" fillId="2" borderId="2" xfId="0" applyFont="1" applyFill="1" applyBorder="1" applyAlignment="1" applyProtection="1">
      <alignment horizontal="right"/>
    </xf>
    <xf numFmtId="0" fontId="7" fillId="0" borderId="0" xfId="0" applyFont="1" applyAlignment="1" applyProtection="1">
      <alignment horizontal="right"/>
    </xf>
    <xf numFmtId="0" fontId="51" fillId="4" borderId="6" xfId="0" applyFont="1" applyFill="1" applyBorder="1" applyProtection="1"/>
    <xf numFmtId="0" fontId="51" fillId="4" borderId="0" xfId="0" applyFont="1" applyFill="1" applyBorder="1" applyProtection="1"/>
    <xf numFmtId="165" fontId="24" fillId="4" borderId="11" xfId="0" applyNumberFormat="1" applyFont="1" applyFill="1" applyBorder="1" applyProtection="1"/>
    <xf numFmtId="0" fontId="35" fillId="4" borderId="0" xfId="0" applyFont="1" applyFill="1" applyBorder="1" applyAlignment="1" applyProtection="1">
      <alignment horizontal="left" indent="1"/>
    </xf>
    <xf numFmtId="0" fontId="21" fillId="4" borderId="6" xfId="0" applyFont="1" applyFill="1" applyBorder="1" applyAlignment="1" applyProtection="1">
      <alignment horizontal="left"/>
    </xf>
    <xf numFmtId="44" fontId="24" fillId="4" borderId="5" xfId="1" applyFont="1" applyFill="1" applyBorder="1" applyProtection="1"/>
    <xf numFmtId="0" fontId="0" fillId="0" borderId="6" xfId="0" applyFont="1" applyBorder="1" applyAlignment="1" applyProtection="1">
      <alignment horizontal="left"/>
    </xf>
    <xf numFmtId="0" fontId="23" fillId="0" borderId="0" xfId="0" applyFont="1" applyBorder="1" applyProtection="1"/>
    <xf numFmtId="44" fontId="23" fillId="0" borderId="11" xfId="1" applyFont="1" applyBorder="1" applyProtection="1"/>
    <xf numFmtId="0" fontId="30" fillId="2" borderId="14" xfId="0" applyFont="1" applyFill="1" applyBorder="1" applyAlignment="1" applyProtection="1">
      <alignment horizontal="left"/>
    </xf>
    <xf numFmtId="44" fontId="24" fillId="2" borderId="16" xfId="1" applyFont="1" applyFill="1" applyBorder="1" applyProtection="1"/>
    <xf numFmtId="44" fontId="23" fillId="4" borderId="0" xfId="1" applyFont="1" applyFill="1" applyBorder="1" applyProtection="1"/>
    <xf numFmtId="0" fontId="24" fillId="4" borderId="6" xfId="0" applyFont="1" applyFill="1" applyBorder="1" applyProtection="1"/>
    <xf numFmtId="0" fontId="17" fillId="4" borderId="0" xfId="0" applyFont="1" applyFill="1" applyBorder="1" applyProtection="1"/>
    <xf numFmtId="0" fontId="17" fillId="0" borderId="14" xfId="0" applyFont="1" applyFill="1" applyBorder="1" applyProtection="1"/>
    <xf numFmtId="0" fontId="17" fillId="4" borderId="15" xfId="0" applyFont="1" applyFill="1" applyBorder="1" applyProtection="1"/>
    <xf numFmtId="10" fontId="23" fillId="4" borderId="15" xfId="0" applyNumberFormat="1" applyFont="1" applyFill="1" applyBorder="1" applyProtection="1"/>
    <xf numFmtId="0" fontId="23" fillId="4" borderId="15" xfId="0" applyFont="1" applyFill="1" applyBorder="1" applyProtection="1"/>
    <xf numFmtId="0" fontId="17" fillId="2" borderId="15" xfId="0" applyFont="1" applyFill="1" applyBorder="1" applyProtection="1"/>
    <xf numFmtId="10" fontId="23" fillId="2" borderId="15" xfId="0" applyNumberFormat="1" applyFont="1" applyFill="1" applyBorder="1" applyProtection="1"/>
    <xf numFmtId="44" fontId="23" fillId="4" borderId="18" xfId="1" applyFont="1" applyFill="1" applyBorder="1" applyProtection="1"/>
    <xf numFmtId="0" fontId="17" fillId="4" borderId="1" xfId="0" applyFont="1" applyFill="1" applyBorder="1" applyProtection="1"/>
    <xf numFmtId="0" fontId="7" fillId="4" borderId="17" xfId="0" applyFont="1" applyFill="1" applyBorder="1" applyAlignment="1" applyProtection="1">
      <alignment horizontal="right"/>
    </xf>
    <xf numFmtId="44" fontId="23" fillId="4" borderId="11" xfId="1" applyFont="1" applyFill="1" applyBorder="1" applyProtection="1"/>
    <xf numFmtId="0" fontId="24" fillId="4" borderId="11" xfId="0" applyFont="1" applyFill="1" applyBorder="1" applyAlignment="1" applyProtection="1">
      <alignment horizontal="center"/>
    </xf>
    <xf numFmtId="0" fontId="7" fillId="0" borderId="2" xfId="0" applyFont="1" applyFill="1" applyBorder="1" applyProtection="1"/>
    <xf numFmtId="10" fontId="23" fillId="4" borderId="6" xfId="0" applyNumberFormat="1" applyFont="1" applyFill="1" applyBorder="1" applyProtection="1"/>
    <xf numFmtId="165" fontId="23" fillId="4" borderId="11" xfId="0" applyNumberFormat="1" applyFont="1" applyFill="1" applyBorder="1" applyProtection="1"/>
    <xf numFmtId="0" fontId="23" fillId="4" borderId="6" xfId="0" applyFont="1" applyFill="1" applyBorder="1" applyProtection="1"/>
    <xf numFmtId="44" fontId="0" fillId="4" borderId="0" xfId="1" applyFont="1" applyFill="1" applyBorder="1" applyProtection="1"/>
    <xf numFmtId="44" fontId="24" fillId="4" borderId="11" xfId="1" applyFont="1" applyFill="1" applyBorder="1" applyAlignment="1" applyProtection="1">
      <alignment horizontal="center"/>
    </xf>
    <xf numFmtId="165" fontId="23" fillId="4" borderId="0" xfId="0" applyNumberFormat="1" applyFont="1" applyFill="1" applyBorder="1" applyProtection="1"/>
    <xf numFmtId="44" fontId="0" fillId="4" borderId="3" xfId="1" applyFont="1" applyFill="1" applyBorder="1" applyProtection="1"/>
    <xf numFmtId="44" fontId="0" fillId="4" borderId="18" xfId="1" applyFont="1" applyFill="1" applyBorder="1" applyProtection="1"/>
    <xf numFmtId="44" fontId="0" fillId="4" borderId="6" xfId="1" applyFont="1" applyFill="1" applyBorder="1" applyProtection="1"/>
    <xf numFmtId="44" fontId="7" fillId="4" borderId="17" xfId="1" applyFont="1" applyFill="1" applyBorder="1" applyProtection="1"/>
    <xf numFmtId="49" fontId="14" fillId="2" borderId="3" xfId="3" applyNumberFormat="1" applyFont="1" applyFill="1" applyBorder="1" applyAlignment="1" applyProtection="1">
      <alignment horizontal="left"/>
    </xf>
    <xf numFmtId="0" fontId="7" fillId="2" borderId="4" xfId="3" applyFont="1" applyFill="1" applyBorder="1" applyProtection="1"/>
    <xf numFmtId="167" fontId="14" fillId="2" borderId="3" xfId="3" applyNumberFormat="1" applyFont="1" applyFill="1" applyBorder="1" applyAlignment="1" applyProtection="1">
      <alignment horizontal="center" wrapText="1"/>
    </xf>
    <xf numFmtId="167" fontId="42" fillId="2" borderId="57" xfId="3" applyNumberFormat="1" applyFont="1" applyFill="1" applyBorder="1" applyAlignment="1" applyProtection="1">
      <alignment horizontal="center" wrapText="1"/>
    </xf>
    <xf numFmtId="49" fontId="14" fillId="2" borderId="7" xfId="3" applyNumberFormat="1" applyFont="1" applyFill="1" applyBorder="1" applyAlignment="1" applyProtection="1">
      <alignment horizontal="left"/>
    </xf>
    <xf numFmtId="0" fontId="7" fillId="2" borderId="1" xfId="3" applyFont="1" applyFill="1" applyBorder="1" applyProtection="1"/>
    <xf numFmtId="167" fontId="14" fillId="2" borderId="7" xfId="3" applyNumberFormat="1" applyFont="1" applyFill="1" applyBorder="1" applyAlignment="1" applyProtection="1">
      <alignment horizontal="center" wrapText="1"/>
    </xf>
    <xf numFmtId="167" fontId="42" fillId="2" borderId="58" xfId="3" applyNumberFormat="1" applyFont="1" applyFill="1" applyBorder="1" applyAlignment="1" applyProtection="1">
      <alignment horizontal="center" wrapText="1"/>
    </xf>
    <xf numFmtId="0" fontId="14" fillId="4" borderId="39" xfId="3" applyFont="1" applyFill="1" applyBorder="1" applyProtection="1"/>
    <xf numFmtId="49" fontId="14" fillId="0" borderId="32" xfId="3" applyNumberFormat="1" applyFont="1" applyFill="1" applyBorder="1" applyAlignment="1" applyProtection="1">
      <alignment horizontal="center"/>
    </xf>
    <xf numFmtId="10" fontId="42" fillId="4" borderId="59" xfId="2" applyNumberFormat="1" applyFont="1" applyFill="1" applyBorder="1" applyAlignment="1" applyProtection="1">
      <alignment horizontal="center"/>
    </xf>
    <xf numFmtId="167" fontId="14" fillId="2" borderId="7" xfId="3" applyNumberFormat="1" applyFont="1" applyFill="1" applyBorder="1" applyProtection="1"/>
    <xf numFmtId="167" fontId="14" fillId="2" borderId="17" xfId="3" applyNumberFormat="1" applyFont="1" applyFill="1" applyBorder="1" applyProtection="1"/>
    <xf numFmtId="44" fontId="2" fillId="4" borderId="13" xfId="1" applyFont="1" applyFill="1" applyBorder="1" applyProtection="1"/>
    <xf numFmtId="44" fontId="2" fillId="0" borderId="13" xfId="1" applyFont="1" applyBorder="1" applyProtection="1"/>
    <xf numFmtId="0" fontId="14" fillId="2" borderId="14" xfId="0" applyFont="1" applyFill="1" applyBorder="1" applyAlignment="1" applyProtection="1">
      <alignment horizontal="center" vertical="top" wrapText="1"/>
    </xf>
    <xf numFmtId="0" fontId="0" fillId="4" borderId="7" xfId="0" applyFill="1" applyBorder="1" applyProtection="1"/>
    <xf numFmtId="9" fontId="0" fillId="4" borderId="1" xfId="0" applyNumberFormat="1" applyFill="1" applyBorder="1" applyProtection="1"/>
    <xf numFmtId="44" fontId="0" fillId="4" borderId="1" xfId="0" applyNumberFormat="1" applyFill="1" applyBorder="1" applyProtection="1"/>
    <xf numFmtId="10" fontId="23" fillId="3" borderId="2" xfId="2" applyNumberFormat="1" applyFont="1" applyFill="1" applyBorder="1" applyProtection="1">
      <protection locked="0"/>
    </xf>
    <xf numFmtId="0" fontId="0" fillId="4" borderId="11" xfId="0" applyFont="1" applyFill="1" applyBorder="1" applyAlignment="1" applyProtection="1">
      <alignment horizontal="right"/>
    </xf>
    <xf numFmtId="0" fontId="0" fillId="0" borderId="0" xfId="0" applyProtection="1"/>
    <xf numFmtId="0" fontId="0" fillId="0" borderId="0" xfId="0" applyFont="1" applyProtection="1"/>
    <xf numFmtId="0" fontId="3" fillId="0" borderId="0" xfId="0" applyFont="1" applyFill="1" applyProtection="1"/>
    <xf numFmtId="0" fontId="0" fillId="0" borderId="0" xfId="0" applyFont="1" applyFill="1" applyBorder="1" applyProtection="1"/>
    <xf numFmtId="0" fontId="7" fillId="4" borderId="2" xfId="0" applyFont="1" applyFill="1" applyBorder="1" applyAlignment="1" applyProtection="1">
      <alignment horizontal="right"/>
    </xf>
    <xf numFmtId="0" fontId="0" fillId="4" borderId="17" xfId="0" applyFont="1" applyFill="1" applyBorder="1" applyProtection="1"/>
    <xf numFmtId="10" fontId="0" fillId="3" borderId="2" xfId="0" applyNumberFormat="1" applyFont="1" applyFill="1" applyBorder="1" applyProtection="1">
      <protection locked="0"/>
    </xf>
    <xf numFmtId="10" fontId="0" fillId="2" borderId="2" xfId="0" applyNumberFormat="1" applyFont="1" applyFill="1" applyBorder="1" applyProtection="1"/>
    <xf numFmtId="10" fontId="7" fillId="6" borderId="2" xfId="2" applyNumberFormat="1" applyFont="1" applyFill="1" applyBorder="1" applyProtection="1">
      <protection locked="0"/>
    </xf>
    <xf numFmtId="44" fontId="12" fillId="4" borderId="0" xfId="0" applyNumberFormat="1" applyFont="1" applyFill="1" applyBorder="1" applyAlignment="1" applyProtection="1">
      <alignment horizontal="right" vertical="center"/>
    </xf>
    <xf numFmtId="0" fontId="12" fillId="4" borderId="0" xfId="0" applyFont="1" applyFill="1" applyBorder="1" applyAlignment="1" applyProtection="1">
      <alignment horizontal="center"/>
    </xf>
    <xf numFmtId="0" fontId="13" fillId="4" borderId="0" xfId="0" applyFont="1" applyFill="1" applyBorder="1" applyAlignment="1" applyProtection="1">
      <alignment horizontal="center"/>
    </xf>
    <xf numFmtId="2" fontId="13" fillId="4" borderId="0" xfId="0" applyNumberFormat="1" applyFont="1" applyFill="1" applyBorder="1" applyAlignment="1" applyProtection="1">
      <alignment horizontal="right"/>
    </xf>
    <xf numFmtId="44" fontId="12" fillId="4" borderId="0" xfId="0" applyNumberFormat="1" applyFont="1" applyFill="1" applyBorder="1" applyAlignment="1" applyProtection="1">
      <alignment horizontal="right"/>
    </xf>
    <xf numFmtId="44" fontId="13" fillId="4" borderId="0" xfId="0" applyNumberFormat="1" applyFont="1" applyFill="1" applyBorder="1" applyAlignment="1" applyProtection="1">
      <alignment horizontal="right"/>
    </xf>
    <xf numFmtId="0" fontId="7" fillId="4" borderId="0" xfId="0" applyFont="1" applyFill="1" applyBorder="1" applyAlignment="1" applyProtection="1">
      <alignment horizontal="right" vertical="center"/>
    </xf>
    <xf numFmtId="44" fontId="13" fillId="4" borderId="0" xfId="0" applyNumberFormat="1" applyFont="1" applyFill="1" applyBorder="1" applyAlignment="1" applyProtection="1">
      <alignment horizontal="right" vertical="center"/>
    </xf>
    <xf numFmtId="0" fontId="14" fillId="4" borderId="0" xfId="0" applyFont="1" applyFill="1" applyBorder="1" applyAlignment="1" applyProtection="1">
      <alignment horizontal="right" vertical="center"/>
    </xf>
    <xf numFmtId="0" fontId="7" fillId="4" borderId="8" xfId="0" applyFont="1" applyFill="1" applyBorder="1" applyAlignment="1" applyProtection="1">
      <alignment horizontal="right" vertical="center"/>
    </xf>
    <xf numFmtId="0" fontId="7" fillId="2" borderId="6" xfId="0" applyFont="1" applyFill="1" applyBorder="1" applyProtection="1"/>
    <xf numFmtId="0" fontId="7" fillId="4" borderId="5" xfId="0" applyFont="1" applyFill="1" applyBorder="1" applyAlignment="1" applyProtection="1">
      <alignment horizontal="right" vertical="center"/>
    </xf>
    <xf numFmtId="0" fontId="7" fillId="2" borderId="11" xfId="0" applyFont="1" applyFill="1" applyBorder="1" applyProtection="1"/>
    <xf numFmtId="0" fontId="7" fillId="2" borderId="17" xfId="0" applyFont="1" applyFill="1" applyBorder="1" applyProtection="1"/>
    <xf numFmtId="0" fontId="14" fillId="2" borderId="5" xfId="0" applyFont="1" applyFill="1" applyBorder="1" applyAlignment="1" applyProtection="1">
      <alignment horizontal="right" vertical="center"/>
    </xf>
    <xf numFmtId="44" fontId="14" fillId="2" borderId="8" xfId="1" applyFont="1" applyFill="1" applyBorder="1" applyAlignment="1" applyProtection="1">
      <alignment horizontal="right" vertical="center"/>
    </xf>
    <xf numFmtId="0" fontId="14" fillId="4" borderId="5" xfId="0" applyFont="1" applyFill="1" applyBorder="1" applyAlignment="1" applyProtection="1">
      <alignment horizontal="right" vertical="center"/>
    </xf>
    <xf numFmtId="44" fontId="14" fillId="4" borderId="8" xfId="1" applyFont="1" applyFill="1" applyBorder="1" applyAlignment="1" applyProtection="1">
      <alignment horizontal="right" vertical="center"/>
    </xf>
    <xf numFmtId="0" fontId="2" fillId="0" borderId="0" xfId="0" applyFont="1" applyBorder="1" applyProtection="1">
      <protection locked="0"/>
    </xf>
    <xf numFmtId="0" fontId="3" fillId="7" borderId="2" xfId="0" applyFont="1" applyFill="1" applyBorder="1" applyAlignment="1" applyProtection="1">
      <alignment horizontal="center" wrapText="1"/>
    </xf>
    <xf numFmtId="0" fontId="7" fillId="8" borderId="26" xfId="0" applyFont="1" applyFill="1" applyBorder="1" applyAlignment="1" applyProtection="1">
      <alignment horizontal="left" wrapText="1"/>
    </xf>
    <xf numFmtId="0" fontId="7" fillId="0" borderId="28" xfId="0" applyFont="1" applyBorder="1" applyAlignment="1" applyProtection="1"/>
    <xf numFmtId="44" fontId="13" fillId="4" borderId="2" xfId="0" applyNumberFormat="1" applyFont="1" applyFill="1" applyBorder="1" applyAlignment="1" applyProtection="1">
      <alignment horizontal="right" vertical="center"/>
    </xf>
    <xf numFmtId="0" fontId="7" fillId="0" borderId="100" xfId="0" applyFont="1" applyBorder="1" applyAlignment="1" applyProtection="1">
      <alignment horizontal="right" vertical="center"/>
    </xf>
    <xf numFmtId="44" fontId="13" fillId="2" borderId="2" xfId="0" applyNumberFormat="1" applyFont="1" applyFill="1" applyBorder="1" applyAlignment="1" applyProtection="1">
      <alignment horizontal="right" vertical="center"/>
    </xf>
    <xf numFmtId="0" fontId="7" fillId="2" borderId="100" xfId="0" applyFont="1" applyFill="1" applyBorder="1" applyAlignment="1" applyProtection="1">
      <alignment horizontal="right" vertical="center"/>
    </xf>
    <xf numFmtId="44" fontId="12" fillId="4" borderId="2" xfId="0" applyNumberFormat="1" applyFont="1" applyFill="1" applyBorder="1" applyAlignment="1" applyProtection="1">
      <alignment horizontal="right" vertical="center"/>
    </xf>
    <xf numFmtId="44" fontId="13" fillId="4" borderId="66" xfId="0" applyNumberFormat="1" applyFont="1" applyFill="1" applyBorder="1" applyAlignment="1" applyProtection="1">
      <alignment horizontal="right" vertical="center"/>
    </xf>
    <xf numFmtId="0" fontId="7" fillId="0" borderId="68" xfId="0" applyFont="1" applyBorder="1" applyAlignment="1" applyProtection="1">
      <alignment horizontal="right" vertical="center"/>
    </xf>
    <xf numFmtId="44" fontId="13" fillId="2" borderId="67" xfId="0" applyNumberFormat="1" applyFont="1" applyFill="1" applyBorder="1" applyAlignment="1" applyProtection="1">
      <alignment horizontal="right" vertical="center"/>
    </xf>
    <xf numFmtId="0" fontId="14" fillId="2" borderId="69" xfId="0" applyFont="1" applyFill="1" applyBorder="1" applyAlignment="1" applyProtection="1">
      <alignment horizontal="right" vertical="center"/>
    </xf>
    <xf numFmtId="44" fontId="13" fillId="2" borderId="62" xfId="0" applyNumberFormat="1" applyFont="1" applyFill="1" applyBorder="1" applyAlignment="1" applyProtection="1">
      <alignment horizontal="right" vertical="center"/>
    </xf>
    <xf numFmtId="0" fontId="7" fillId="2" borderId="64" xfId="0" applyFont="1" applyFill="1" applyBorder="1" applyAlignment="1" applyProtection="1">
      <alignment horizontal="right" vertical="center"/>
    </xf>
    <xf numFmtId="44" fontId="13" fillId="4" borderId="62" xfId="0" applyNumberFormat="1" applyFont="1" applyFill="1" applyBorder="1" applyAlignment="1" applyProtection="1">
      <alignment horizontal="right" vertical="center"/>
    </xf>
    <xf numFmtId="0" fontId="7" fillId="0" borderId="64" xfId="0" applyFont="1" applyBorder="1" applyAlignment="1" applyProtection="1">
      <alignment horizontal="right" vertical="center"/>
    </xf>
    <xf numFmtId="44" fontId="12" fillId="4" borderId="63" xfId="0" applyNumberFormat="1" applyFont="1" applyFill="1" applyBorder="1" applyAlignment="1" applyProtection="1">
      <alignment horizontal="right" vertical="center"/>
    </xf>
    <xf numFmtId="0" fontId="7" fillId="0" borderId="65" xfId="0" applyFont="1" applyBorder="1" applyAlignment="1" applyProtection="1">
      <alignment horizontal="right" vertical="center"/>
    </xf>
    <xf numFmtId="44" fontId="13" fillId="2" borderId="13" xfId="0" applyNumberFormat="1" applyFont="1" applyFill="1" applyBorder="1" applyAlignment="1" applyProtection="1">
      <alignment horizontal="right" vertical="center"/>
    </xf>
    <xf numFmtId="0" fontId="7" fillId="2" borderId="101" xfId="0" applyFont="1" applyFill="1" applyBorder="1" applyAlignment="1" applyProtection="1">
      <alignment horizontal="right" vertical="center"/>
    </xf>
    <xf numFmtId="44" fontId="13" fillId="4" borderId="13" xfId="0" applyNumberFormat="1" applyFont="1" applyFill="1" applyBorder="1" applyAlignment="1" applyProtection="1">
      <alignment horizontal="right" vertical="center"/>
    </xf>
    <xf numFmtId="0" fontId="7" fillId="4" borderId="101" xfId="0" applyFont="1" applyFill="1" applyBorder="1" applyAlignment="1" applyProtection="1">
      <alignment horizontal="right" vertical="center"/>
    </xf>
    <xf numFmtId="44" fontId="12" fillId="4" borderId="13" xfId="0" applyNumberFormat="1" applyFont="1" applyFill="1" applyBorder="1" applyAlignment="1" applyProtection="1">
      <alignment horizontal="right" vertical="center"/>
    </xf>
    <xf numFmtId="0" fontId="7" fillId="8" borderId="26" xfId="0" applyFont="1" applyFill="1" applyBorder="1" applyAlignment="1" applyProtection="1">
      <alignment wrapText="1"/>
    </xf>
    <xf numFmtId="0" fontId="7" fillId="8" borderId="28" xfId="0" applyFont="1" applyFill="1" applyBorder="1" applyAlignment="1" applyProtection="1"/>
    <xf numFmtId="0" fontId="7" fillId="8" borderId="40" xfId="0" applyFont="1" applyFill="1" applyBorder="1" applyAlignment="1" applyProtection="1"/>
    <xf numFmtId="0" fontId="21" fillId="2" borderId="33" xfId="0" applyFont="1" applyFill="1" applyBorder="1" applyAlignment="1" applyProtection="1">
      <alignment wrapText="1"/>
    </xf>
    <xf numFmtId="0" fontId="14" fillId="0" borderId="29" xfId="0" applyFont="1" applyBorder="1" applyAlignment="1" applyProtection="1"/>
    <xf numFmtId="0" fontId="14" fillId="0" borderId="73" xfId="0" applyFont="1" applyBorder="1" applyAlignment="1" applyProtection="1"/>
    <xf numFmtId="0" fontId="36" fillId="4" borderId="39" xfId="0" applyFont="1" applyFill="1" applyBorder="1" applyAlignment="1" applyProtection="1">
      <alignment wrapText="1"/>
    </xf>
    <xf numFmtId="0" fontId="7" fillId="0" borderId="27" xfId="0" applyFont="1" applyBorder="1" applyAlignment="1" applyProtection="1"/>
    <xf numFmtId="0" fontId="7" fillId="0" borderId="32" xfId="0" applyFont="1" applyBorder="1" applyAlignment="1" applyProtection="1"/>
    <xf numFmtId="22" fontId="14" fillId="0" borderId="87" xfId="0" quotePrefix="1" applyNumberFormat="1" applyFont="1" applyFill="1" applyBorder="1" applyAlignment="1" applyProtection="1">
      <alignment wrapText="1"/>
    </xf>
    <xf numFmtId="0" fontId="14" fillId="0" borderId="75" xfId="0" applyFont="1" applyFill="1" applyBorder="1" applyAlignment="1" applyProtection="1"/>
    <xf numFmtId="0" fontId="52" fillId="3" borderId="37" xfId="0" applyFont="1" applyFill="1"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5" fillId="4" borderId="94" xfId="0" applyFont="1" applyFill="1" applyBorder="1" applyAlignment="1" applyProtection="1">
      <alignment vertical="center"/>
      <protection locked="0"/>
    </xf>
    <xf numFmtId="0" fontId="0" fillId="0" borderId="93" xfId="0" applyBorder="1" applyAlignment="1">
      <alignment vertical="center"/>
    </xf>
    <xf numFmtId="0" fontId="7" fillId="0" borderId="40" xfId="0" applyFont="1" applyBorder="1" applyAlignment="1" applyProtection="1"/>
    <xf numFmtId="0" fontId="3" fillId="4" borderId="87" xfId="0" applyFont="1" applyFill="1" applyBorder="1" applyAlignment="1" applyProtection="1">
      <alignment vertical="center" wrapText="1"/>
      <protection locked="0"/>
    </xf>
    <xf numFmtId="0" fontId="3" fillId="0" borderId="90" xfId="0" applyFont="1" applyBorder="1" applyAlignment="1">
      <alignment vertical="center" wrapText="1"/>
    </xf>
    <xf numFmtId="0" fontId="3" fillId="0" borderId="88" xfId="0" applyFont="1" applyBorder="1" applyAlignment="1">
      <alignment vertical="center" wrapText="1"/>
    </xf>
    <xf numFmtId="0" fontId="3" fillId="0" borderId="55" xfId="0" applyFont="1" applyBorder="1" applyAlignment="1">
      <alignment vertical="center" wrapText="1"/>
    </xf>
    <xf numFmtId="0" fontId="14" fillId="8" borderId="26" xfId="0" applyFont="1" applyFill="1" applyBorder="1" applyAlignment="1" applyProtection="1">
      <alignment wrapText="1"/>
    </xf>
    <xf numFmtId="0" fontId="14" fillId="0" borderId="87" xfId="0" applyFont="1" applyFill="1" applyBorder="1" applyAlignment="1" applyProtection="1">
      <alignment horizontal="center" vertical="center"/>
    </xf>
    <xf numFmtId="0" fontId="14" fillId="0" borderId="89"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7" fillId="0" borderId="88" xfId="0" applyFont="1" applyBorder="1" applyAlignment="1" applyProtection="1">
      <alignment horizontal="center" vertical="center"/>
    </xf>
    <xf numFmtId="0" fontId="52" fillId="4" borderId="37" xfId="0" applyFont="1" applyFill="1" applyBorder="1" applyAlignment="1" applyProtection="1">
      <alignment horizontal="center" vertical="center"/>
      <protection locked="0"/>
    </xf>
    <xf numFmtId="0" fontId="7" fillId="4" borderId="38" xfId="0" applyFont="1" applyFill="1" applyBorder="1" applyAlignment="1" applyProtection="1">
      <alignment horizontal="center" vertical="center"/>
      <protection locked="0"/>
    </xf>
    <xf numFmtId="0" fontId="14" fillId="0" borderId="87" xfId="0" quotePrefix="1" applyFont="1" applyFill="1" applyBorder="1" applyAlignment="1" applyProtection="1">
      <alignment wrapText="1"/>
    </xf>
    <xf numFmtId="170" fontId="4" fillId="0" borderId="94" xfId="0" applyNumberFormat="1" applyFont="1" applyFill="1" applyBorder="1" applyAlignment="1" applyProtection="1">
      <alignment horizontal="center" vertical="center"/>
      <protection locked="0"/>
    </xf>
    <xf numFmtId="170" fontId="4" fillId="0" borderId="93" xfId="0" applyNumberFormat="1" applyFont="1" applyFill="1" applyBorder="1" applyAlignment="1" applyProtection="1">
      <alignment horizontal="center" vertical="center"/>
      <protection locked="0"/>
    </xf>
    <xf numFmtId="22" fontId="14" fillId="0" borderId="87" xfId="0" quotePrefix="1" applyNumberFormat="1" applyFont="1" applyFill="1" applyBorder="1" applyAlignment="1" applyProtection="1"/>
    <xf numFmtId="0" fontId="14" fillId="0" borderId="87" xfId="0" applyFont="1" applyFill="1" applyBorder="1" applyAlignment="1" applyProtection="1">
      <alignment wrapText="1"/>
    </xf>
    <xf numFmtId="0" fontId="25" fillId="8" borderId="39" xfId="0" applyFont="1" applyFill="1" applyBorder="1" applyAlignment="1" applyProtection="1">
      <alignment wrapText="1"/>
    </xf>
    <xf numFmtId="0" fontId="0" fillId="8" borderId="32" xfId="0" applyFill="1" applyBorder="1" applyAlignment="1" applyProtection="1"/>
    <xf numFmtId="167" fontId="7" fillId="3" borderId="14" xfId="3" applyNumberFormat="1" applyFont="1" applyFill="1" applyBorder="1" applyAlignment="1" applyProtection="1">
      <alignment wrapText="1"/>
      <protection locked="0"/>
    </xf>
    <xf numFmtId="0" fontId="7" fillId="0" borderId="16" xfId="0" applyFont="1" applyBorder="1" applyAlignment="1" applyProtection="1">
      <protection locked="0"/>
    </xf>
    <xf numFmtId="0" fontId="7" fillId="0" borderId="38" xfId="0" applyFont="1" applyBorder="1" applyAlignment="1" applyProtection="1">
      <alignment horizontal="center" vertical="center"/>
      <protection locked="0"/>
    </xf>
    <xf numFmtId="0" fontId="14" fillId="0" borderId="87" xfId="0" quotePrefix="1" applyFont="1" applyFill="1" applyBorder="1" applyAlignment="1" applyProtection="1">
      <alignment horizontal="left" vertical="center" wrapText="1"/>
    </xf>
    <xf numFmtId="0" fontId="7" fillId="0" borderId="9" xfId="0" applyFont="1" applyBorder="1" applyAlignment="1" applyProtection="1">
      <alignment horizontal="left" wrapText="1"/>
    </xf>
    <xf numFmtId="0" fontId="7" fillId="0" borderId="75" xfId="0" applyFont="1" applyBorder="1" applyAlignment="1" applyProtection="1">
      <alignment horizontal="left" wrapText="1"/>
    </xf>
    <xf numFmtId="0" fontId="7" fillId="8" borderId="26" xfId="0" applyFont="1" applyFill="1" applyBorder="1" applyAlignment="1" applyProtection="1">
      <alignment vertical="top" wrapText="1"/>
    </xf>
    <xf numFmtId="0" fontId="7" fillId="0" borderId="28" xfId="0" applyFont="1" applyBorder="1" applyAlignment="1" applyProtection="1">
      <alignment vertical="top"/>
    </xf>
    <xf numFmtId="0" fontId="7" fillId="0" borderId="40" xfId="0" applyFont="1" applyBorder="1" applyAlignment="1" applyProtection="1">
      <alignment vertical="top"/>
    </xf>
    <xf numFmtId="49" fontId="51" fillId="8" borderId="3" xfId="3" applyNumberFormat="1" applyFont="1" applyFill="1" applyBorder="1" applyAlignment="1" applyProtection="1">
      <alignment horizontal="left" wrapText="1"/>
    </xf>
    <xf numFmtId="0" fontId="7" fillId="0" borderId="18" xfId="0" applyFont="1" applyBorder="1" applyAlignment="1" applyProtection="1"/>
    <xf numFmtId="0" fontId="3" fillId="2" borderId="14" xfId="0" applyFont="1" applyFill="1" applyBorder="1" applyAlignment="1" applyProtection="1">
      <alignment vertical="top" wrapText="1"/>
    </xf>
    <xf numFmtId="0" fontId="0" fillId="0" borderId="15" xfId="0" applyBorder="1" applyAlignment="1" applyProtection="1">
      <alignment vertical="top"/>
    </xf>
    <xf numFmtId="0" fontId="0" fillId="0" borderId="16" xfId="0" applyBorder="1" applyAlignment="1" applyProtection="1">
      <alignment vertical="top"/>
    </xf>
    <xf numFmtId="0" fontId="14" fillId="8" borderId="88" xfId="0" applyFont="1" applyFill="1" applyBorder="1" applyAlignment="1" applyProtection="1">
      <alignment horizontal="right" vertical="center" wrapText="1"/>
    </xf>
    <xf numFmtId="0" fontId="0" fillId="0" borderId="10" xfId="0" applyBorder="1" applyAlignment="1" applyProtection="1"/>
    <xf numFmtId="0" fontId="0" fillId="0" borderId="78" xfId="0" applyBorder="1" applyAlignment="1" applyProtection="1"/>
    <xf numFmtId="0" fontId="7" fillId="4" borderId="87" xfId="0" applyFont="1" applyFill="1" applyBorder="1" applyAlignment="1" applyProtection="1">
      <alignment vertical="center" wrapText="1"/>
    </xf>
    <xf numFmtId="0" fontId="0" fillId="0" borderId="88" xfId="0" applyBorder="1" applyAlignment="1">
      <alignment vertical="center" wrapText="1"/>
    </xf>
    <xf numFmtId="171" fontId="14" fillId="4" borderId="94" xfId="1" applyNumberFormat="1" applyFont="1" applyFill="1" applyBorder="1" applyAlignment="1" applyProtection="1">
      <alignment horizontal="center" vertical="center"/>
    </xf>
    <xf numFmtId="0" fontId="0" fillId="4" borderId="93" xfId="0" applyFill="1" applyBorder="1" applyAlignment="1">
      <alignment horizontal="center" vertical="center"/>
    </xf>
    <xf numFmtId="170" fontId="33" fillId="2" borderId="50" xfId="1" applyNumberFormat="1" applyFont="1" applyFill="1" applyBorder="1" applyAlignment="1" applyProtection="1">
      <alignment horizontal="center"/>
    </xf>
    <xf numFmtId="170" fontId="0" fillId="0" borderId="40" xfId="1" applyNumberFormat="1" applyFont="1" applyBorder="1" applyAlignment="1" applyProtection="1">
      <alignment horizontal="center"/>
    </xf>
    <xf numFmtId="0" fontId="13" fillId="2" borderId="14" xfId="0" applyFont="1" applyFill="1" applyBorder="1" applyAlignment="1" applyProtection="1">
      <alignment wrapText="1"/>
    </xf>
    <xf numFmtId="0" fontId="0" fillId="0" borderId="15" xfId="0" applyBorder="1" applyAlignment="1" applyProtection="1"/>
    <xf numFmtId="0" fontId="0" fillId="0" borderId="56" xfId="0" applyBorder="1" applyAlignment="1" applyProtection="1"/>
    <xf numFmtId="0" fontId="7" fillId="4" borderId="33" xfId="0" applyFont="1" applyFill="1" applyBorder="1" applyAlignment="1" applyProtection="1">
      <alignment wrapText="1"/>
    </xf>
    <xf numFmtId="0" fontId="7" fillId="0" borderId="29" xfId="0" applyFont="1" applyBorder="1" applyAlignment="1" applyProtection="1"/>
    <xf numFmtId="0" fontId="7" fillId="0" borderId="85" xfId="0" applyFont="1" applyBorder="1" applyAlignment="1" applyProtection="1"/>
    <xf numFmtId="0" fontId="3" fillId="12" borderId="45" xfId="0" applyFont="1" applyFill="1" applyBorder="1" applyAlignment="1" applyProtection="1">
      <alignment horizontal="center" vertical="top" wrapText="1"/>
    </xf>
    <xf numFmtId="0" fontId="0" fillId="12" borderId="9" xfId="0" applyFill="1" applyBorder="1" applyAlignment="1" applyProtection="1">
      <alignment horizontal="center" vertical="top"/>
    </xf>
    <xf numFmtId="0" fontId="0" fillId="12" borderId="90" xfId="0" applyFill="1" applyBorder="1" applyAlignment="1" applyProtection="1">
      <alignment horizontal="center" vertical="top"/>
    </xf>
    <xf numFmtId="0" fontId="0" fillId="12" borderId="6" xfId="0" applyFill="1" applyBorder="1" applyAlignment="1" applyProtection="1">
      <alignment horizontal="center" vertical="top"/>
    </xf>
    <xf numFmtId="0" fontId="0" fillId="12" borderId="0" xfId="0" applyFill="1" applyAlignment="1" applyProtection="1">
      <alignment horizontal="center" vertical="top"/>
    </xf>
    <xf numFmtId="0" fontId="0" fillId="12" borderId="11" xfId="0" applyFill="1" applyBorder="1" applyAlignment="1" applyProtection="1">
      <alignment horizontal="center" vertical="top"/>
    </xf>
    <xf numFmtId="0" fontId="0" fillId="12" borderId="20" xfId="0" applyFill="1" applyBorder="1" applyAlignment="1" applyProtection="1">
      <alignment horizontal="center" vertical="top"/>
    </xf>
    <xf numFmtId="0" fontId="0" fillId="12" borderId="10" xfId="0" applyFill="1" applyBorder="1" applyAlignment="1" applyProtection="1">
      <alignment horizontal="center" vertical="top"/>
    </xf>
    <xf numFmtId="0" fontId="0" fillId="12" borderId="55" xfId="0" applyFill="1" applyBorder="1" applyAlignment="1" applyProtection="1">
      <alignment horizontal="center" vertical="top"/>
    </xf>
    <xf numFmtId="0" fontId="59" fillId="12" borderId="45" xfId="0" applyFont="1" applyFill="1" applyBorder="1" applyAlignment="1" applyProtection="1">
      <alignment horizontal="center" vertical="top" wrapText="1"/>
    </xf>
    <xf numFmtId="0" fontId="59" fillId="12" borderId="9" xfId="0" applyFont="1" applyFill="1" applyBorder="1" applyAlignment="1" applyProtection="1">
      <alignment horizontal="center" vertical="top"/>
    </xf>
    <xf numFmtId="0" fontId="59" fillId="12" borderId="90" xfId="0" applyFont="1" applyFill="1" applyBorder="1" applyAlignment="1" applyProtection="1">
      <alignment horizontal="center" vertical="top"/>
    </xf>
    <xf numFmtId="0" fontId="59" fillId="12" borderId="6" xfId="0" applyFont="1" applyFill="1" applyBorder="1" applyAlignment="1" applyProtection="1">
      <alignment horizontal="center" vertical="top"/>
    </xf>
    <xf numFmtId="0" fontId="59" fillId="12" borderId="0" xfId="0" applyFont="1" applyFill="1" applyAlignment="1" applyProtection="1">
      <alignment horizontal="center" vertical="top"/>
    </xf>
    <xf numFmtId="0" fontId="59" fillId="12" borderId="11" xfId="0" applyFont="1" applyFill="1" applyBorder="1" applyAlignment="1" applyProtection="1">
      <alignment horizontal="center" vertical="top"/>
    </xf>
    <xf numFmtId="0" fontId="59" fillId="12" borderId="20" xfId="0" applyFont="1" applyFill="1" applyBorder="1" applyAlignment="1" applyProtection="1">
      <alignment horizontal="center" vertical="top"/>
    </xf>
    <xf numFmtId="0" fontId="59" fillId="12" borderId="10" xfId="0" applyFont="1" applyFill="1" applyBorder="1" applyAlignment="1" applyProtection="1">
      <alignment horizontal="center" vertical="top"/>
    </xf>
    <xf numFmtId="0" fontId="59" fillId="12" borderId="55" xfId="0" applyFont="1" applyFill="1" applyBorder="1" applyAlignment="1" applyProtection="1">
      <alignment horizontal="center" vertical="top"/>
    </xf>
    <xf numFmtId="0" fontId="59" fillId="13" borderId="45" xfId="0" applyFont="1" applyFill="1" applyBorder="1" applyAlignment="1" applyProtection="1">
      <alignment horizontal="center" vertical="top" wrapText="1"/>
    </xf>
    <xf numFmtId="0" fontId="59" fillId="13" borderId="9" xfId="0" applyFont="1" applyFill="1" applyBorder="1" applyAlignment="1" applyProtection="1">
      <alignment horizontal="center" vertical="top"/>
    </xf>
    <xf numFmtId="0" fontId="59" fillId="13" borderId="90" xfId="0" applyFont="1" applyFill="1" applyBorder="1" applyAlignment="1" applyProtection="1">
      <alignment horizontal="center" vertical="top"/>
    </xf>
    <xf numFmtId="0" fontId="59" fillId="13" borderId="6" xfId="0" applyFont="1" applyFill="1" applyBorder="1" applyAlignment="1" applyProtection="1">
      <alignment horizontal="center" vertical="top"/>
    </xf>
    <xf numFmtId="0" fontId="59" fillId="13" borderId="0" xfId="0" applyFont="1" applyFill="1" applyAlignment="1" applyProtection="1">
      <alignment horizontal="center" vertical="top"/>
    </xf>
    <xf numFmtId="0" fontId="59" fillId="13" borderId="11" xfId="0" applyFont="1" applyFill="1" applyBorder="1" applyAlignment="1" applyProtection="1">
      <alignment horizontal="center" vertical="top"/>
    </xf>
    <xf numFmtId="0" fontId="59" fillId="13" borderId="20" xfId="0" applyFont="1" applyFill="1" applyBorder="1" applyAlignment="1" applyProtection="1">
      <alignment horizontal="center" vertical="top"/>
    </xf>
    <xf numFmtId="0" fontId="59" fillId="13" borderId="10" xfId="0" applyFont="1" applyFill="1" applyBorder="1" applyAlignment="1" applyProtection="1">
      <alignment horizontal="center" vertical="top"/>
    </xf>
    <xf numFmtId="0" fontId="59" fillId="13" borderId="55" xfId="0" applyFont="1" applyFill="1" applyBorder="1" applyAlignment="1" applyProtection="1">
      <alignment horizontal="center" vertical="top"/>
    </xf>
    <xf numFmtId="0" fontId="59" fillId="13" borderId="45" xfId="0" applyFont="1" applyFill="1" applyBorder="1" applyAlignment="1" applyProtection="1">
      <alignment horizontal="center" vertical="center" wrapText="1"/>
    </xf>
    <xf numFmtId="0" fontId="59" fillId="13" borderId="9" xfId="0" applyFont="1" applyFill="1" applyBorder="1" applyAlignment="1" applyProtection="1">
      <alignment horizontal="center" vertical="center"/>
    </xf>
    <xf numFmtId="0" fontId="59" fillId="13" borderId="90" xfId="0" applyFont="1" applyFill="1" applyBorder="1" applyAlignment="1" applyProtection="1">
      <alignment horizontal="center" vertical="center"/>
    </xf>
    <xf numFmtId="0" fontId="59" fillId="13" borderId="6" xfId="0" applyFont="1" applyFill="1" applyBorder="1" applyAlignment="1" applyProtection="1">
      <alignment horizontal="center" vertical="center"/>
    </xf>
    <xf numFmtId="0" fontId="59" fillId="13" borderId="0" xfId="0" applyFont="1" applyFill="1" applyAlignment="1" applyProtection="1">
      <alignment horizontal="center" vertical="center"/>
    </xf>
    <xf numFmtId="0" fontId="59" fillId="13" borderId="11" xfId="0" applyFont="1" applyFill="1" applyBorder="1" applyAlignment="1" applyProtection="1">
      <alignment horizontal="center" vertical="center"/>
    </xf>
    <xf numFmtId="0" fontId="59" fillId="13" borderId="20" xfId="0" applyFont="1" applyFill="1" applyBorder="1" applyAlignment="1" applyProtection="1">
      <alignment horizontal="center" vertical="center"/>
    </xf>
    <xf numFmtId="0" fontId="59" fillId="13" borderId="10" xfId="0" applyFont="1" applyFill="1" applyBorder="1" applyAlignment="1" applyProtection="1">
      <alignment horizontal="center" vertical="center"/>
    </xf>
    <xf numFmtId="0" fontId="59" fillId="13" borderId="55" xfId="0" applyFont="1" applyFill="1" applyBorder="1" applyAlignment="1" applyProtection="1">
      <alignment horizontal="center" vertical="center"/>
    </xf>
    <xf numFmtId="0" fontId="52" fillId="3" borderId="94" xfId="0" applyFont="1" applyFill="1" applyBorder="1" applyAlignment="1" applyProtection="1">
      <alignment horizontal="center" vertical="center"/>
      <protection locked="0"/>
    </xf>
    <xf numFmtId="0" fontId="54" fillId="3" borderId="93" xfId="0" applyFont="1" applyFill="1" applyBorder="1" applyAlignment="1" applyProtection="1">
      <alignment horizontal="center" vertical="center"/>
      <protection locked="0"/>
    </xf>
    <xf numFmtId="0" fontId="13" fillId="0" borderId="14" xfId="0" applyFont="1" applyFill="1" applyBorder="1" applyAlignment="1" applyProtection="1">
      <protection locked="0"/>
    </xf>
    <xf numFmtId="0" fontId="13" fillId="0" borderId="22" xfId="0" applyFont="1" applyFill="1" applyBorder="1" applyAlignment="1" applyProtection="1">
      <protection locked="0"/>
    </xf>
    <xf numFmtId="0" fontId="7" fillId="0" borderId="51" xfId="0" applyFont="1" applyBorder="1" applyAlignment="1" applyProtection="1">
      <protection locked="0"/>
    </xf>
    <xf numFmtId="0" fontId="7" fillId="4" borderId="100" xfId="0" applyFont="1" applyFill="1" applyBorder="1" applyAlignment="1" applyProtection="1">
      <alignment horizontal="right" vertical="center"/>
    </xf>
    <xf numFmtId="0" fontId="7" fillId="2" borderId="14" xfId="0" applyFont="1" applyFill="1" applyBorder="1" applyAlignment="1" applyProtection="1">
      <alignment wrapText="1"/>
    </xf>
    <xf numFmtId="0" fontId="7" fillId="0" borderId="16" xfId="0" applyFont="1" applyBorder="1" applyAlignment="1" applyProtection="1">
      <alignment wrapText="1"/>
    </xf>
    <xf numFmtId="0" fontId="7" fillId="2" borderId="22" xfId="0" applyFont="1" applyFill="1" applyBorder="1" applyAlignment="1" applyProtection="1">
      <alignment wrapText="1"/>
    </xf>
    <xf numFmtId="0" fontId="7" fillId="0" borderId="51" xfId="0" applyFont="1" applyBorder="1" applyAlignment="1" applyProtection="1">
      <alignment wrapText="1"/>
    </xf>
    <xf numFmtId="44" fontId="13" fillId="2" borderId="66" xfId="0" applyNumberFormat="1" applyFont="1" applyFill="1" applyBorder="1" applyAlignment="1" applyProtection="1">
      <alignment horizontal="right" vertical="center"/>
    </xf>
    <xf numFmtId="0" fontId="7" fillId="2" borderId="68" xfId="0" applyFont="1" applyFill="1" applyBorder="1" applyAlignment="1" applyProtection="1">
      <alignment horizontal="right" vertical="center"/>
    </xf>
    <xf numFmtId="0" fontId="7" fillId="8" borderId="20" xfId="0" applyFont="1" applyFill="1" applyBorder="1" applyAlignment="1" applyProtection="1">
      <alignment horizontal="left" vertical="top" wrapText="1"/>
    </xf>
    <xf numFmtId="0" fontId="7" fillId="8" borderId="10" xfId="0" applyFont="1" applyFill="1" applyBorder="1" applyAlignment="1" applyProtection="1">
      <alignment horizontal="left" vertical="top" wrapText="1"/>
    </xf>
    <xf numFmtId="0" fontId="7" fillId="8" borderId="10" xfId="0" applyFont="1" applyFill="1" applyBorder="1" applyAlignment="1" applyProtection="1">
      <alignment vertical="top"/>
    </xf>
    <xf numFmtId="0" fontId="7" fillId="8" borderId="55" xfId="0" applyFont="1" applyFill="1" applyBorder="1" applyAlignment="1" applyProtection="1">
      <alignment vertical="top"/>
    </xf>
    <xf numFmtId="0" fontId="7" fillId="4" borderId="13" xfId="0" applyFont="1" applyFill="1" applyBorder="1" applyAlignment="1" applyProtection="1">
      <alignment horizontal="right" vertical="center"/>
    </xf>
  </cellXfs>
  <cellStyles count="6">
    <cellStyle name="Euro" xfId="5" xr:uid="{00000000-0005-0000-0000-000000000000}"/>
    <cellStyle name="Prozent" xfId="2" builtinId="5"/>
    <cellStyle name="Prozent 2" xfId="4" xr:uid="{00000000-0005-0000-0000-000002000000}"/>
    <cellStyle name="Standard" xfId="0" builtinId="0"/>
    <cellStyle name="Standard 2" xfId="3" xr:uid="{00000000-0005-0000-0000-000004000000}"/>
    <cellStyle name="Währung" xfId="1" builtinId="4"/>
  </cellStyles>
  <dxfs count="129">
    <dxf>
      <fill>
        <patternFill>
          <bgColor rgb="FFFFFF99"/>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theme="0"/>
        </patternFill>
      </fill>
    </dxf>
    <dxf>
      <fill>
        <patternFill>
          <bgColor rgb="FFFF0000"/>
        </patternFill>
      </fill>
    </dxf>
    <dxf>
      <fill>
        <patternFill>
          <bgColor rgb="FFFF0000"/>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0000"/>
        </patternFill>
      </fill>
    </dxf>
    <dxf>
      <fill>
        <patternFill patternType="none">
          <bgColor auto="1"/>
        </patternFill>
      </fill>
    </dxf>
    <dxf>
      <font>
        <color theme="0"/>
      </font>
    </dxf>
    <dxf>
      <fill>
        <patternFill>
          <bgColor rgb="FFFF0000"/>
        </patternFill>
      </fill>
    </dxf>
    <dxf>
      <font>
        <color theme="0"/>
      </font>
    </dxf>
    <dxf>
      <fill>
        <patternFill>
          <bgColor theme="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patternType="none">
          <bgColor auto="1"/>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FF99"/>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FF99"/>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theme="0"/>
        </patternFill>
      </fill>
    </dxf>
    <dxf>
      <fill>
        <patternFill>
          <bgColor rgb="FFFFFF99"/>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ont>
        <color theme="0"/>
      </font>
    </dxf>
  </dxfs>
  <tableStyles count="0" defaultTableStyle="TableStyleMedium2" defaultPivotStyle="PivotStyleLight16"/>
  <colors>
    <mruColors>
      <color rgb="FFFFFF99"/>
      <color rgb="FFDAE7F6"/>
      <color rgb="FFFFFF66"/>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180975</xdr:colOff>
      <xdr:row>2</xdr:row>
      <xdr:rowOff>219075</xdr:rowOff>
    </xdr:from>
    <xdr:ext cx="3076575" cy="78105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343775" y="885825"/>
          <a:ext cx="3076575" cy="78105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baseline="0"/>
            <a:t>In diesem Reiter sind keine manuellen Eintragungen vorzunehmen. Alle Werte ergeben sich aus den Berechnungen der Reiter A - E.</a:t>
          </a:r>
        </a:p>
        <a:p>
          <a:pPr marL="0" marR="0" indent="0" defTabSz="914400" eaLnBrk="1" fontAlgn="auto" latinLnBrk="0" hangingPunct="1">
            <a:lnSpc>
              <a:spcPct val="100000"/>
            </a:lnSpc>
            <a:spcBef>
              <a:spcPts val="0"/>
            </a:spcBef>
            <a:spcAft>
              <a:spcPts val="0"/>
            </a:spcAft>
            <a:buClrTx/>
            <a:buSzTx/>
            <a:buFontTx/>
            <a:buNone/>
            <a:tabLst/>
            <a:defRPr/>
          </a:pPr>
          <a:r>
            <a:rPr lang="de-DE" sz="900" b="0" i="1" baseline="0">
              <a:solidFill>
                <a:schemeClr val="tx1"/>
              </a:solidFill>
              <a:effectLst/>
              <a:latin typeface="+mn-lt"/>
              <a:ea typeface="+mn-ea"/>
              <a:cs typeface="+mn-cs"/>
            </a:rPr>
            <a:t>=&gt; Dieser Hinweis wird nicht mit ausgedruckt.</a:t>
          </a:r>
          <a:endParaRPr lang="de-DE" sz="900">
            <a:effectLst/>
          </a:endParaRPr>
        </a:p>
        <a:p>
          <a:endParaRPr lang="de-DE" sz="1100" b="0"/>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0</xdr:row>
      <xdr:rowOff>247650</xdr:rowOff>
    </xdr:from>
    <xdr:ext cx="5429250" cy="2819400"/>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7607300" y="247650"/>
          <a:ext cx="5429250" cy="2819400"/>
        </a:xfrm>
        <a:prstGeom prst="rect">
          <a:avLst/>
        </a:prstGeom>
        <a:solidFill>
          <a:schemeClr val="accent1">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de-DE" sz="1100" b="1" u="sng" baseline="0">
              <a:solidFill>
                <a:schemeClr val="tx1"/>
              </a:solidFill>
              <a:effectLst/>
              <a:latin typeface="+mn-lt"/>
              <a:ea typeface="+mn-ea"/>
              <a:cs typeface="+mn-cs"/>
            </a:rPr>
            <a:t>Hinweise zum Blattschutz im Reiter A Flächen:</a:t>
          </a:r>
          <a:br>
            <a:rPr lang="de-DE" sz="1100" b="1" u="sng" baseline="0">
              <a:solidFill>
                <a:schemeClr val="tx1"/>
              </a:solidFill>
              <a:effectLst/>
              <a:latin typeface="+mn-lt"/>
              <a:ea typeface="+mn-ea"/>
              <a:cs typeface="+mn-cs"/>
            </a:rPr>
          </a:br>
          <a:r>
            <a:rPr lang="de-DE" sz="1100" i="0">
              <a:solidFill>
                <a:schemeClr val="tx1"/>
              </a:solidFill>
              <a:effectLst/>
              <a:latin typeface="+mn-lt"/>
              <a:ea typeface="+mn-ea"/>
              <a:cs typeface="+mn-cs"/>
            </a:rPr>
            <a:t>Im Reiter A Flächen wurde auf einen Passwort-Schutz verzichtet. Sofern die im Standard vorgesehenen Zeilen für die Räume des zu erfassenden Gebäudes nicht ausreichen, können Sie weitere Zeilen einfügen.  </a:t>
          </a:r>
          <a:br>
            <a:rPr lang="de-DE" sz="1100" i="0">
              <a:solidFill>
                <a:schemeClr val="tx1"/>
              </a:solidFill>
              <a:effectLst/>
              <a:latin typeface="+mn-lt"/>
              <a:ea typeface="+mn-ea"/>
              <a:cs typeface="+mn-cs"/>
            </a:rPr>
          </a:br>
          <a:r>
            <a:rPr lang="de-DE" sz="1100" i="0">
              <a:solidFill>
                <a:schemeClr val="tx1"/>
              </a:solidFill>
              <a:effectLst/>
              <a:latin typeface="+mn-lt"/>
              <a:ea typeface="+mn-ea"/>
              <a:cs typeface="+mn-cs"/>
              <a:sym typeface="Wingdings"/>
            </a:rPr>
            <a:t> </a:t>
          </a:r>
          <a:r>
            <a:rPr lang="de-DE" sz="1100" i="0">
              <a:solidFill>
                <a:schemeClr val="tx1"/>
              </a:solidFill>
              <a:effectLst/>
              <a:latin typeface="+mn-lt"/>
              <a:ea typeface="+mn-ea"/>
              <a:cs typeface="+mn-cs"/>
            </a:rPr>
            <a:t>Klicken Sie hierzu oben in der Menüzeile auf "Überprüfen" und dann auf das Feld "Blattschutz aufheben". </a:t>
          </a:r>
          <a:br>
            <a:rPr lang="de-DE" sz="1100" i="0">
              <a:solidFill>
                <a:schemeClr val="tx1"/>
              </a:solidFill>
              <a:effectLst/>
              <a:latin typeface="+mn-lt"/>
              <a:ea typeface="+mn-ea"/>
              <a:cs typeface="+mn-cs"/>
            </a:rPr>
          </a:br>
          <a:r>
            <a:rPr lang="de-DE" sz="1100" i="0">
              <a:solidFill>
                <a:schemeClr val="tx1"/>
              </a:solidFill>
              <a:effectLst/>
              <a:latin typeface="+mn-lt"/>
              <a:ea typeface="+mn-ea"/>
              <a:cs typeface="+mn-cs"/>
              <a:sym typeface="Wingdings"/>
            </a:rPr>
            <a:t></a:t>
          </a:r>
          <a:r>
            <a:rPr lang="de-DE" sz="1100" i="0">
              <a:solidFill>
                <a:schemeClr val="tx1"/>
              </a:solidFill>
              <a:effectLst/>
              <a:latin typeface="+mn-lt"/>
              <a:ea typeface="+mn-ea"/>
              <a:cs typeface="+mn-cs"/>
            </a:rPr>
            <a:t> </a:t>
          </a:r>
          <a:r>
            <a:rPr lang="de-DE" sz="1100" b="1" i="0">
              <a:solidFill>
                <a:schemeClr val="tx1"/>
              </a:solidFill>
              <a:effectLst/>
              <a:latin typeface="+mn-lt"/>
              <a:ea typeface="+mn-ea"/>
              <a:cs typeface="+mn-cs"/>
            </a:rPr>
            <a:t>Fügen Sie weitere Zeilen für weitere Räume bitte </a:t>
          </a:r>
          <a:r>
            <a:rPr lang="de-DE" sz="1100" b="1" i="0" u="sng">
              <a:solidFill>
                <a:schemeClr val="tx1"/>
              </a:solidFill>
              <a:effectLst/>
              <a:latin typeface="+mn-lt"/>
              <a:ea typeface="+mn-ea"/>
              <a:cs typeface="+mn-cs"/>
            </a:rPr>
            <a:t>NICHT</a:t>
          </a:r>
          <a:r>
            <a:rPr lang="de-DE" sz="1100" b="1" i="0">
              <a:solidFill>
                <a:schemeClr val="tx1"/>
              </a:solidFill>
              <a:effectLst/>
              <a:latin typeface="+mn-lt"/>
              <a:ea typeface="+mn-ea"/>
              <a:cs typeface="+mn-cs"/>
            </a:rPr>
            <a:t> nach der letzten gelben Zeilen der verschiedenen Raum-Typen (bspw. „Flächen persönlicher Wohnraum“) ein, sondern immer ein paar Zeilen weiter oben</a:t>
          </a:r>
          <a:r>
            <a:rPr lang="de-DE" sz="1100" i="0">
              <a:solidFill>
                <a:schemeClr val="tx1"/>
              </a:solidFill>
              <a:effectLst/>
              <a:latin typeface="+mn-lt"/>
              <a:ea typeface="+mn-ea"/>
              <a:cs typeface="+mn-cs"/>
            </a:rPr>
            <a:t>. So stellen Sie sicher, dass alle Summen-Formeln die neu eingefügten Zeilen berücksichtigen. </a:t>
          </a:r>
        </a:p>
        <a:p>
          <a:pPr lvl="0"/>
          <a:r>
            <a:rPr lang="de-DE" sz="1100" b="1" i="0">
              <a:solidFill>
                <a:schemeClr val="tx1"/>
              </a:solidFill>
              <a:effectLst/>
              <a:latin typeface="+mn-lt"/>
              <a:ea typeface="+mn-ea"/>
              <a:cs typeface="+mn-cs"/>
              <a:sym typeface="Wingdings"/>
            </a:rPr>
            <a:t></a:t>
          </a:r>
          <a:r>
            <a:rPr lang="de-DE" sz="1100" b="1" i="0">
              <a:solidFill>
                <a:schemeClr val="tx1"/>
              </a:solidFill>
              <a:effectLst/>
              <a:latin typeface="+mn-lt"/>
              <a:ea typeface="+mn-ea"/>
              <a:cs typeface="+mn-cs"/>
            </a:rPr>
            <a:t> Kopieren Sie anschließend eine der bestehenden gelben Zeilen dieses Raum-Typs auf die neu eingefügten Zeilen. </a:t>
          </a:r>
          <a:r>
            <a:rPr lang="de-DE" sz="1100" i="0">
              <a:solidFill>
                <a:schemeClr val="tx1"/>
              </a:solidFill>
              <a:effectLst/>
              <a:latin typeface="+mn-lt"/>
              <a:ea typeface="+mn-ea"/>
              <a:cs typeface="+mn-cs"/>
            </a:rPr>
            <a:t>So stellen Sie sicher, dass alle Formatierungen korrekt auch in die neuen Zeilen übernommen werden.</a:t>
          </a:r>
          <a:br>
            <a:rPr lang="de-DE" sz="1100" i="0">
              <a:solidFill>
                <a:schemeClr val="tx1"/>
              </a:solidFill>
              <a:effectLst/>
              <a:latin typeface="+mn-lt"/>
              <a:ea typeface="+mn-ea"/>
              <a:cs typeface="+mn-cs"/>
            </a:rPr>
          </a:br>
          <a:r>
            <a:rPr lang="de-DE" sz="1100" i="0">
              <a:solidFill>
                <a:schemeClr val="tx1"/>
              </a:solidFill>
              <a:effectLst/>
              <a:latin typeface="+mn-lt"/>
              <a:ea typeface="+mn-ea"/>
              <a:cs typeface="+mn-cs"/>
              <a:sym typeface="Wingdings"/>
            </a:rPr>
            <a:t></a:t>
          </a:r>
          <a:r>
            <a:rPr lang="de-DE" sz="1100" i="0">
              <a:solidFill>
                <a:schemeClr val="tx1"/>
              </a:solidFill>
              <a:effectLst/>
              <a:latin typeface="+mn-lt"/>
              <a:ea typeface="+mn-ea"/>
              <a:cs typeface="+mn-cs"/>
            </a:rPr>
            <a:t> Bitte stellen Sie den Blattschutz anschließend wieder her ("Überprüfen",</a:t>
          </a:r>
          <a:r>
            <a:rPr lang="de-DE" sz="1100" i="0" baseline="0">
              <a:solidFill>
                <a:schemeClr val="tx1"/>
              </a:solidFill>
              <a:effectLst/>
              <a:latin typeface="+mn-lt"/>
              <a:ea typeface="+mn-ea"/>
              <a:cs typeface="+mn-cs"/>
            </a:rPr>
            <a:t> "Blatt Schützen")</a:t>
          </a:r>
          <a:r>
            <a:rPr lang="de-DE" sz="1100" i="0">
              <a:solidFill>
                <a:schemeClr val="tx1"/>
              </a:solidFill>
              <a:effectLst/>
              <a:latin typeface="+mn-lt"/>
              <a:ea typeface="+mn-ea"/>
              <a:cs typeface="+mn-cs"/>
            </a:rPr>
            <a:t>.</a:t>
          </a:r>
          <a:br>
            <a:rPr lang="de-DE" sz="1100" b="0" baseline="0">
              <a:solidFill>
                <a:sysClr val="windowText" lastClr="000000"/>
              </a:solidFill>
            </a:rPr>
          </a:br>
          <a:r>
            <a:rPr lang="de-DE" sz="900" b="0" i="1" baseline="0">
              <a:solidFill>
                <a:sysClr val="windowText" lastClr="000000"/>
              </a:solidFill>
            </a:rPr>
            <a:t>=&gt; Dieser Hinweis wird nicht mit ausgedruckt.</a:t>
          </a:r>
          <a:endParaRPr lang="de-DE" sz="900" b="0" i="1">
            <a:solidFill>
              <a:sysClr val="windowText" lastClr="00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0</xdr:row>
      <xdr:rowOff>76200</xdr:rowOff>
    </xdr:from>
    <xdr:to>
      <xdr:col>4</xdr:col>
      <xdr:colOff>0</xdr:colOff>
      <xdr:row>0</xdr:row>
      <xdr:rowOff>273686</xdr:rowOff>
    </xdr:to>
    <xdr:pic>
      <xdr:nvPicPr>
        <xdr:cNvPr id="4" name="Grafik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0200" y="76200"/>
          <a:ext cx="1302384" cy="1974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0</xdr:row>
      <xdr:rowOff>76200</xdr:rowOff>
    </xdr:from>
    <xdr:to>
      <xdr:col>5</xdr:col>
      <xdr:colOff>0</xdr:colOff>
      <xdr:row>0</xdr:row>
      <xdr:rowOff>187961</xdr:rowOff>
    </xdr:to>
    <xdr:pic>
      <xdr:nvPicPr>
        <xdr:cNvPr id="4" name="Grafik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57825" y="76200"/>
          <a:ext cx="0" cy="197486"/>
        </a:xfrm>
        <a:prstGeom prst="rect">
          <a:avLst/>
        </a:prstGeom>
      </xdr:spPr>
    </xdr:pic>
    <xdr:clientData/>
  </xdr:twoCellAnchor>
  <xdr:twoCellAnchor editAs="oneCell">
    <xdr:from>
      <xdr:col>5</xdr:col>
      <xdr:colOff>0</xdr:colOff>
      <xdr:row>0</xdr:row>
      <xdr:rowOff>76200</xdr:rowOff>
    </xdr:from>
    <xdr:to>
      <xdr:col>5</xdr:col>
      <xdr:colOff>0</xdr:colOff>
      <xdr:row>0</xdr:row>
      <xdr:rowOff>187961</xdr:rowOff>
    </xdr:to>
    <xdr:pic>
      <xdr:nvPicPr>
        <xdr:cNvPr id="6" name="Grafik 5">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05575" y="76200"/>
          <a:ext cx="0" cy="1117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0</xdr:row>
      <xdr:rowOff>85725</xdr:rowOff>
    </xdr:from>
    <xdr:to>
      <xdr:col>4</xdr:col>
      <xdr:colOff>0</xdr:colOff>
      <xdr:row>0</xdr:row>
      <xdr:rowOff>187961</xdr:rowOff>
    </xdr:to>
    <xdr:pic>
      <xdr:nvPicPr>
        <xdr:cNvPr id="3" name="Grafik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0" y="85725"/>
          <a:ext cx="1302384" cy="1974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7</xdr:col>
      <xdr:colOff>9525</xdr:colOff>
      <xdr:row>23</xdr:row>
      <xdr:rowOff>320990</xdr:rowOff>
    </xdr:from>
    <xdr:ext cx="4733925" cy="621986"/>
    <xdr:sp macro="" textlink="">
      <xdr:nvSpPr>
        <xdr:cNvPr id="3" name="Textfeld 2">
          <a:extLst>
            <a:ext uri="{FF2B5EF4-FFF2-40B4-BE49-F238E27FC236}">
              <a16:creationId xmlns:a16="http://schemas.microsoft.com/office/drawing/2014/main" id="{00000000-0008-0000-0900-000003000000}"/>
            </a:ext>
          </a:extLst>
        </xdr:cNvPr>
        <xdr:cNvSpPr txBox="1"/>
      </xdr:nvSpPr>
      <xdr:spPr>
        <a:xfrm>
          <a:off x="8124825" y="6493190"/>
          <a:ext cx="4733925" cy="621986"/>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baseline="0"/>
            <a:t>Ab dieser Stelle sind im Reiter keine weiteren manuellen Eintragungen vorzunehmen. Alle Werte ergeben sich aus den Berechnungen der Reiter A - E, sowie obiger Festlegung der Kaltmiete für die Zimmertypen.</a:t>
          </a:r>
        </a:p>
      </xdr:txBody>
    </xdr:sp>
    <xdr:clientData fPrintsWithSheet="0"/>
  </xdr:oneCellAnchor>
</xdr:wsDr>
</file>

<file path=xl/drawings/drawing7.xml><?xml version="1.0" encoding="utf-8"?>
<xdr:wsDr xmlns:xdr="http://schemas.openxmlformats.org/drawingml/2006/spreadsheetDrawing" xmlns:a="http://schemas.openxmlformats.org/drawingml/2006/main">
  <xdr:twoCellAnchor editAs="oneCell">
    <xdr:from>
      <xdr:col>4</xdr:col>
      <xdr:colOff>0</xdr:colOff>
      <xdr:row>0</xdr:row>
      <xdr:rowOff>85725</xdr:rowOff>
    </xdr:from>
    <xdr:to>
      <xdr:col>4</xdr:col>
      <xdr:colOff>0</xdr:colOff>
      <xdr:row>0</xdr:row>
      <xdr:rowOff>187961</xdr:rowOff>
    </xdr:to>
    <xdr:pic>
      <xdr:nvPicPr>
        <xdr:cNvPr id="2" name="Grafik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43450" y="85725"/>
          <a:ext cx="0" cy="10223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0"/>
  <sheetViews>
    <sheetView tabSelected="1" zoomScaleNormal="100" workbookViewId="0">
      <selection activeCell="D1" sqref="D1"/>
    </sheetView>
  </sheetViews>
  <sheetFormatPr baseColWidth="10" defaultColWidth="11.44140625" defaultRowHeight="14.4" x14ac:dyDescent="0.3"/>
  <cols>
    <col min="1" max="1" width="28.44140625" style="64" customWidth="1"/>
    <col min="2" max="2" width="30.88671875" style="64" customWidth="1"/>
    <col min="3" max="3" width="19.44140625" style="64" customWidth="1"/>
    <col min="4" max="4" width="10.88671875" style="64" customWidth="1"/>
    <col min="5" max="5" width="11.44140625" style="142"/>
    <col min="6" max="16384" width="11.44140625" style="64"/>
  </cols>
  <sheetData>
    <row r="1" spans="1:4" ht="25.8" x14ac:dyDescent="0.5">
      <c r="A1" s="622" t="s">
        <v>329</v>
      </c>
      <c r="B1" s="467"/>
      <c r="C1" s="467"/>
      <c r="D1" s="615"/>
    </row>
    <row r="2" spans="1:4" ht="25.8" x14ac:dyDescent="0.5">
      <c r="A2" s="623" t="s">
        <v>286</v>
      </c>
      <c r="B2" s="471"/>
      <c r="C2" s="471"/>
      <c r="D2" s="624" t="s">
        <v>347</v>
      </c>
    </row>
    <row r="3" spans="1:4" x14ac:dyDescent="0.3">
      <c r="A3" s="116">
        <f>+B5</f>
        <v>0</v>
      </c>
      <c r="B3" s="117">
        <f>+B6</f>
        <v>0</v>
      </c>
      <c r="C3" s="625" t="s">
        <v>41</v>
      </c>
      <c r="D3" s="626"/>
    </row>
    <row r="4" spans="1:4" ht="25.8" x14ac:dyDescent="0.5">
      <c r="A4" s="65"/>
      <c r="B4" s="66"/>
      <c r="C4" s="66"/>
      <c r="D4" s="67"/>
    </row>
    <row r="5" spans="1:4" x14ac:dyDescent="0.3">
      <c r="A5" s="115" t="s">
        <v>159</v>
      </c>
      <c r="B5" s="69"/>
      <c r="C5" s="66"/>
      <c r="D5" s="67"/>
    </row>
    <row r="6" spans="1:4" x14ac:dyDescent="0.3">
      <c r="A6" s="115" t="s">
        <v>328</v>
      </c>
      <c r="B6" s="69"/>
      <c r="C6" s="66"/>
      <c r="D6" s="67"/>
    </row>
    <row r="7" spans="1:4" x14ac:dyDescent="0.3">
      <c r="A7" s="115" t="s">
        <v>160</v>
      </c>
      <c r="B7" s="69"/>
      <c r="C7" s="66"/>
      <c r="D7" s="67"/>
    </row>
    <row r="8" spans="1:4" x14ac:dyDescent="0.3">
      <c r="A8" s="31" t="s">
        <v>269</v>
      </c>
      <c r="B8" s="70"/>
      <c r="C8" s="66"/>
      <c r="D8" s="67"/>
    </row>
    <row r="9" spans="1:4" x14ac:dyDescent="0.3">
      <c r="A9" s="71"/>
      <c r="B9" s="66"/>
      <c r="C9" s="66"/>
      <c r="D9" s="67"/>
    </row>
    <row r="10" spans="1:4" x14ac:dyDescent="0.3">
      <c r="A10" s="773" t="s">
        <v>345</v>
      </c>
      <c r="B10" s="66"/>
      <c r="C10" s="66"/>
      <c r="D10" s="67"/>
    </row>
    <row r="11" spans="1:4" x14ac:dyDescent="0.3">
      <c r="A11" s="71"/>
      <c r="B11" s="66"/>
      <c r="C11" s="66"/>
      <c r="D11" s="67"/>
    </row>
    <row r="12" spans="1:4" x14ac:dyDescent="0.3">
      <c r="A12" s="71"/>
      <c r="B12" s="66"/>
      <c r="C12" s="66"/>
      <c r="D12" s="67"/>
    </row>
    <row r="13" spans="1:4" x14ac:dyDescent="0.3">
      <c r="A13" s="71"/>
      <c r="B13" s="66"/>
      <c r="C13" s="66"/>
      <c r="D13" s="67"/>
    </row>
    <row r="14" spans="1:4" x14ac:dyDescent="0.3">
      <c r="A14" s="71"/>
      <c r="B14" s="66"/>
      <c r="C14" s="66"/>
      <c r="D14" s="67"/>
    </row>
    <row r="15" spans="1:4" x14ac:dyDescent="0.3">
      <c r="A15" s="71"/>
      <c r="B15" s="66"/>
      <c r="C15" s="66"/>
      <c r="D15" s="67"/>
    </row>
    <row r="16" spans="1:4" x14ac:dyDescent="0.3">
      <c r="A16" s="71"/>
      <c r="B16" s="66"/>
      <c r="C16" s="66"/>
      <c r="D16" s="67"/>
    </row>
    <row r="17" spans="1:4" x14ac:dyDescent="0.3">
      <c r="A17" s="71"/>
      <c r="B17" s="66"/>
      <c r="C17" s="66"/>
      <c r="D17" s="67"/>
    </row>
    <row r="18" spans="1:4" x14ac:dyDescent="0.3">
      <c r="A18" s="71"/>
      <c r="B18" s="66"/>
      <c r="C18" s="66"/>
      <c r="D18" s="67"/>
    </row>
    <row r="19" spans="1:4" x14ac:dyDescent="0.3">
      <c r="A19" s="71"/>
      <c r="B19" s="66"/>
      <c r="C19" s="66"/>
      <c r="D19" s="67"/>
    </row>
    <row r="20" spans="1:4" x14ac:dyDescent="0.3">
      <c r="A20" s="71"/>
      <c r="B20" s="66"/>
      <c r="C20" s="66"/>
      <c r="D20" s="67"/>
    </row>
    <row r="21" spans="1:4" x14ac:dyDescent="0.3">
      <c r="A21" s="71"/>
      <c r="B21" s="66"/>
      <c r="C21" s="66"/>
      <c r="D21" s="67"/>
    </row>
    <row r="22" spans="1:4" x14ac:dyDescent="0.3">
      <c r="A22" s="71"/>
      <c r="B22" s="66"/>
      <c r="C22" s="66"/>
      <c r="D22" s="67"/>
    </row>
    <row r="23" spans="1:4" x14ac:dyDescent="0.3">
      <c r="A23" s="71"/>
      <c r="B23" s="66"/>
      <c r="C23" s="66"/>
      <c r="D23" s="67"/>
    </row>
    <row r="24" spans="1:4" x14ac:dyDescent="0.3">
      <c r="A24" s="71"/>
      <c r="B24" s="66"/>
      <c r="C24" s="66"/>
      <c r="D24" s="67"/>
    </row>
    <row r="25" spans="1:4" x14ac:dyDescent="0.3">
      <c r="A25" s="71"/>
      <c r="B25" s="66"/>
      <c r="C25" s="66"/>
      <c r="D25" s="67"/>
    </row>
    <row r="26" spans="1:4" x14ac:dyDescent="0.3">
      <c r="A26" s="71"/>
      <c r="B26" s="66"/>
      <c r="C26" s="66"/>
      <c r="D26" s="67"/>
    </row>
    <row r="27" spans="1:4" x14ac:dyDescent="0.3">
      <c r="A27" s="71"/>
      <c r="B27" s="66"/>
      <c r="C27" s="66"/>
      <c r="D27" s="67"/>
    </row>
    <row r="28" spans="1:4" x14ac:dyDescent="0.3">
      <c r="A28" s="71"/>
      <c r="B28" s="66"/>
      <c r="C28" s="66"/>
      <c r="D28" s="67"/>
    </row>
    <row r="29" spans="1:4" x14ac:dyDescent="0.3">
      <c r="A29" s="71"/>
      <c r="B29" s="66"/>
      <c r="C29" s="66"/>
      <c r="D29" s="67"/>
    </row>
    <row r="30" spans="1:4" x14ac:dyDescent="0.3">
      <c r="A30" s="71"/>
      <c r="B30" s="66"/>
      <c r="C30" s="66"/>
      <c r="D30" s="67"/>
    </row>
    <row r="31" spans="1:4" x14ac:dyDescent="0.3">
      <c r="A31" s="71"/>
      <c r="B31" s="66"/>
      <c r="C31" s="66"/>
      <c r="D31" s="67"/>
    </row>
    <row r="32" spans="1:4" x14ac:dyDescent="0.3">
      <c r="A32" s="71"/>
      <c r="B32" s="66"/>
      <c r="C32" s="66"/>
      <c r="D32" s="67"/>
    </row>
    <row r="33" spans="1:4" x14ac:dyDescent="0.3">
      <c r="A33" s="71"/>
      <c r="B33" s="66"/>
      <c r="C33" s="66"/>
      <c r="D33" s="67"/>
    </row>
    <row r="34" spans="1:4" x14ac:dyDescent="0.3">
      <c r="A34" s="71"/>
      <c r="B34" s="66"/>
      <c r="C34" s="66"/>
      <c r="D34" s="67"/>
    </row>
    <row r="35" spans="1:4" x14ac:dyDescent="0.3">
      <c r="A35" s="71"/>
      <c r="B35" s="66"/>
      <c r="C35" s="66"/>
      <c r="D35" s="67"/>
    </row>
    <row r="36" spans="1:4" x14ac:dyDescent="0.3">
      <c r="A36" s="71"/>
      <c r="B36" s="66"/>
      <c r="C36" s="66"/>
      <c r="D36" s="67"/>
    </row>
    <row r="37" spans="1:4" x14ac:dyDescent="0.3">
      <c r="A37" s="71"/>
      <c r="B37" s="66"/>
      <c r="C37" s="66"/>
      <c r="D37" s="67"/>
    </row>
    <row r="38" spans="1:4" x14ac:dyDescent="0.3">
      <c r="A38" s="71"/>
      <c r="B38" s="66"/>
      <c r="C38" s="66"/>
      <c r="D38" s="67"/>
    </row>
    <row r="39" spans="1:4" x14ac:dyDescent="0.3">
      <c r="A39" s="71"/>
      <c r="B39" s="66"/>
      <c r="C39" s="66"/>
      <c r="D39" s="67"/>
    </row>
    <row r="40" spans="1:4" x14ac:dyDescent="0.3">
      <c r="A40" s="72"/>
      <c r="B40" s="73"/>
      <c r="C40" s="73"/>
      <c r="D40" s="74"/>
    </row>
  </sheetData>
  <sheetProtection algorithmName="SHA-512" hashValue="WIBTAbU+pvGf2rBSsknDUNmCVzk10nG6KvZP3O4vTrwOlzjthaKGAl7Sv924714FEhMyq2TjcU5xrb2pg9seaA==" saltValue="6jDCA8bc7dR2UxvfpT9g5g==" spinCount="100000" sheet="1" objects="1" scenarios="1"/>
  <pageMargins left="0.7" right="0.7" top="0.78740157499999996" bottom="0.78740157499999996" header="0.3" footer="0.3"/>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499984740745262"/>
  </sheetPr>
  <dimension ref="A1:K108"/>
  <sheetViews>
    <sheetView zoomScaleNormal="100" workbookViewId="0">
      <selection activeCell="A5" sqref="A5"/>
    </sheetView>
  </sheetViews>
  <sheetFormatPr baseColWidth="10" defaultColWidth="11.44140625" defaultRowHeight="14.4" x14ac:dyDescent="0.3"/>
  <cols>
    <col min="1" max="1" width="4.5546875" style="64" customWidth="1"/>
    <col min="2" max="2" width="38" style="64" customWidth="1"/>
    <col min="3" max="3" width="17.88671875" style="64" customWidth="1"/>
    <col min="4" max="4" width="18.109375" style="64" customWidth="1"/>
    <col min="5" max="5" width="17.88671875" style="64" customWidth="1"/>
    <col min="6" max="6" width="19" style="64" customWidth="1"/>
    <col min="7" max="7" width="6.33203125" style="64" customWidth="1"/>
    <col min="8" max="8" width="9" style="64" customWidth="1"/>
    <col min="9" max="9" width="11.44140625" style="64"/>
    <col min="10" max="10" width="15.44140625" style="64" customWidth="1"/>
    <col min="11" max="16384" width="11.44140625" style="64"/>
  </cols>
  <sheetData>
    <row r="1" spans="1:11" s="142" customFormat="1" ht="25.8" x14ac:dyDescent="0.5">
      <c r="A1" s="614" t="s">
        <v>100</v>
      </c>
      <c r="B1" s="763"/>
      <c r="C1" s="1"/>
      <c r="D1" s="1"/>
      <c r="E1" s="1"/>
      <c r="F1" s="581"/>
    </row>
    <row r="2" spans="1:11" s="142" customFormat="1" ht="25.8" x14ac:dyDescent="0.5">
      <c r="A2" s="616" t="s">
        <v>248</v>
      </c>
      <c r="B2" s="2"/>
      <c r="C2" s="3"/>
      <c r="D2" s="3"/>
      <c r="E2" s="3"/>
      <c r="F2" s="617" t="str">
        <f>+Stammdaten!D2</f>
        <v>Version 1.7</v>
      </c>
    </row>
    <row r="3" spans="1:11" s="142" customFormat="1" ht="18.600000000000001" thickBot="1" x14ac:dyDescent="0.4">
      <c r="A3" s="4">
        <f>+Stammdaten!A3</f>
        <v>0</v>
      </c>
      <c r="B3" s="764"/>
      <c r="C3" s="5"/>
      <c r="D3" s="6">
        <f>+Stammdaten!B3</f>
        <v>0</v>
      </c>
      <c r="E3" s="765"/>
      <c r="F3" s="766" t="s">
        <v>41</v>
      </c>
    </row>
    <row r="4" spans="1:11" s="142" customFormat="1" ht="75.599999999999994" customHeight="1" thickBot="1" x14ac:dyDescent="0.35">
      <c r="A4" s="1111" t="s">
        <v>267</v>
      </c>
      <c r="B4" s="1112"/>
      <c r="C4" s="1113"/>
      <c r="D4" s="1113"/>
      <c r="E4" s="1113"/>
      <c r="F4" s="1114"/>
      <c r="H4" s="337"/>
    </row>
    <row r="5" spans="1:11" s="142" customFormat="1" ht="19.5" customHeight="1" x14ac:dyDescent="0.5">
      <c r="A5" s="78"/>
      <c r="B5" s="497"/>
      <c r="C5" s="79"/>
      <c r="D5" s="79"/>
      <c r="E5" s="79"/>
      <c r="F5" s="80"/>
      <c r="H5" s="337"/>
      <c r="K5" s="360"/>
    </row>
    <row r="6" spans="1:11" s="142" customFormat="1" x14ac:dyDescent="0.3">
      <c r="A6" s="583" t="s">
        <v>251</v>
      </c>
      <c r="B6" s="760"/>
      <c r="C6" s="761"/>
      <c r="D6" s="762"/>
      <c r="E6" s="8" t="e">
        <f>+'E Mietber.'!H8</f>
        <v>#DIV/0!</v>
      </c>
      <c r="F6" s="80"/>
      <c r="H6" s="337"/>
      <c r="K6" s="360"/>
    </row>
    <row r="7" spans="1:11" s="142" customFormat="1" x14ac:dyDescent="0.3">
      <c r="A7" s="583" t="s">
        <v>252</v>
      </c>
      <c r="B7" s="760"/>
      <c r="C7" s="761"/>
      <c r="D7" s="762"/>
      <c r="E7" s="9">
        <f>+Stammdaten!B7</f>
        <v>0</v>
      </c>
      <c r="F7" s="80"/>
      <c r="H7" s="337"/>
      <c r="K7" s="360"/>
    </row>
    <row r="8" spans="1:11" s="142" customFormat="1" x14ac:dyDescent="0.3">
      <c r="A8" s="583" t="s">
        <v>253</v>
      </c>
      <c r="B8" s="760"/>
      <c r="C8" s="761"/>
      <c r="D8" s="762"/>
      <c r="E8" s="8" t="e">
        <f>+E6*E7</f>
        <v>#DIV/0!</v>
      </c>
      <c r="F8" s="80"/>
      <c r="H8" s="337"/>
      <c r="K8" s="360"/>
    </row>
    <row r="9" spans="1:11" s="142" customFormat="1" ht="15" thickBot="1" x14ac:dyDescent="0.35">
      <c r="A9" s="236"/>
      <c r="B9" s="499"/>
      <c r="C9" s="79"/>
      <c r="D9" s="79"/>
      <c r="E9" s="3"/>
      <c r="F9" s="80"/>
      <c r="H9" s="337"/>
      <c r="K9" s="360"/>
    </row>
    <row r="10" spans="1:11" s="142" customFormat="1" ht="18" x14ac:dyDescent="0.35">
      <c r="A10" s="1099"/>
      <c r="B10" s="754" t="s">
        <v>260</v>
      </c>
      <c r="C10" s="755"/>
      <c r="D10" s="755"/>
      <c r="E10" s="756"/>
      <c r="F10" s="80"/>
      <c r="H10" s="337"/>
      <c r="K10" s="360"/>
    </row>
    <row r="11" spans="1:11" s="142" customFormat="1" ht="15" thickBot="1" x14ac:dyDescent="0.35">
      <c r="A11" s="1100"/>
      <c r="B11" s="757" t="s">
        <v>261</v>
      </c>
      <c r="C11" s="758"/>
      <c r="D11" s="758"/>
      <c r="E11" s="759"/>
      <c r="F11" s="80"/>
      <c r="H11" s="337"/>
      <c r="K11" s="360"/>
    </row>
    <row r="12" spans="1:11" s="142" customFormat="1" x14ac:dyDescent="0.3">
      <c r="A12" s="579" t="s">
        <v>254</v>
      </c>
      <c r="B12" s="751"/>
      <c r="C12" s="3" t="s">
        <v>264</v>
      </c>
      <c r="D12" s="752" t="s">
        <v>160</v>
      </c>
      <c r="E12" s="753"/>
      <c r="F12" s="80"/>
      <c r="H12" s="337"/>
      <c r="K12" s="360"/>
    </row>
    <row r="13" spans="1:11" s="142" customFormat="1" ht="18" x14ac:dyDescent="0.35">
      <c r="A13" s="1101" t="s">
        <v>249</v>
      </c>
      <c r="B13" s="1035"/>
      <c r="C13" s="500"/>
      <c r="D13" s="501"/>
      <c r="E13" s="10">
        <f>+D13*C13</f>
        <v>0</v>
      </c>
      <c r="F13" s="80"/>
      <c r="H13" s="337"/>
      <c r="K13" s="360"/>
    </row>
    <row r="14" spans="1:11" s="142" customFormat="1" ht="18.600000000000001" thickBot="1" x14ac:dyDescent="0.4">
      <c r="A14" s="1102" t="s">
        <v>250</v>
      </c>
      <c r="B14" s="1103"/>
      <c r="C14" s="62">
        <f>IF((D14)&gt;0,(E8-E13)/D14,0)</f>
        <v>0</v>
      </c>
      <c r="D14" s="11">
        <f>IF((E7-D13)&gt;0,E7-D13,0)</f>
        <v>0</v>
      </c>
      <c r="E14" s="12">
        <f t="shared" ref="E14" si="0">+D14*C14</f>
        <v>0</v>
      </c>
      <c r="F14" s="80"/>
      <c r="H14" s="519" t="str">
        <f>IF(A10="X",D15-E7,"")</f>
        <v/>
      </c>
      <c r="I14" s="520" t="str">
        <f>IF(A10="x","Kontrolle Platzzahl","")</f>
        <v/>
      </c>
      <c r="K14" s="360"/>
    </row>
    <row r="15" spans="1:11" s="142" customFormat="1" ht="15.6" thickTop="1" thickBot="1" x14ac:dyDescent="0.35">
      <c r="A15" s="503"/>
      <c r="B15" s="750" t="s">
        <v>266</v>
      </c>
      <c r="C15" s="59" t="e">
        <f>+(C13*D13+C14*D14)/D15</f>
        <v>#DIV/0!</v>
      </c>
      <c r="D15" s="60">
        <f>+SUM(D13:D14)</f>
        <v>0</v>
      </c>
      <c r="E15" s="61">
        <f>+SUM(E13:E14)</f>
        <v>0</v>
      </c>
      <c r="F15" s="80"/>
      <c r="H15" s="521" t="str">
        <f>IF(A10="X",ROUND(E6-C15,2),"")</f>
        <v/>
      </c>
      <c r="I15" s="520" t="str">
        <f>IF(A10="X","Kontrolle Kaltmiete pro Platz","")</f>
        <v/>
      </c>
      <c r="K15" s="360"/>
    </row>
    <row r="16" spans="1:11" ht="15" thickBot="1" x14ac:dyDescent="0.35">
      <c r="A16" s="529" t="str">
        <f>+IF(AND(A10="x",A17="x"),"Bitte wählen Sie ENTWEDER 2 ODER 3 Zimmerkategorien","")</f>
        <v/>
      </c>
      <c r="B16" s="504"/>
      <c r="C16" s="504"/>
      <c r="D16" s="504"/>
      <c r="E16" s="504"/>
      <c r="F16" s="86"/>
      <c r="G16" s="76"/>
      <c r="H16" s="521" t="str">
        <f>IF(A10="X",ROUND(E8-E15,2),"")</f>
        <v/>
      </c>
      <c r="I16" s="520" t="str">
        <f>IF(A10="X","Kontrolle Kaltmiete gesamt","")</f>
        <v/>
      </c>
      <c r="K16" s="81"/>
    </row>
    <row r="17" spans="1:11" s="142" customFormat="1" ht="18" x14ac:dyDescent="0.35">
      <c r="A17" s="1099" t="s">
        <v>78</v>
      </c>
      <c r="B17" s="754" t="s">
        <v>259</v>
      </c>
      <c r="C17" s="755"/>
      <c r="D17" s="755"/>
      <c r="E17" s="756"/>
      <c r="F17" s="80"/>
      <c r="H17" s="337"/>
      <c r="K17" s="360"/>
    </row>
    <row r="18" spans="1:11" s="142" customFormat="1" ht="15" thickBot="1" x14ac:dyDescent="0.35">
      <c r="A18" s="1100"/>
      <c r="B18" s="757" t="s">
        <v>258</v>
      </c>
      <c r="C18" s="758"/>
      <c r="D18" s="758"/>
      <c r="E18" s="759"/>
      <c r="F18" s="80"/>
      <c r="H18" s="337"/>
      <c r="K18" s="360"/>
    </row>
    <row r="19" spans="1:11" s="142" customFormat="1" x14ac:dyDescent="0.3">
      <c r="A19" s="579" t="s">
        <v>254</v>
      </c>
      <c r="B19" s="751"/>
      <c r="C19" s="3" t="s">
        <v>264</v>
      </c>
      <c r="D19" s="752" t="s">
        <v>160</v>
      </c>
      <c r="E19" s="753"/>
      <c r="F19" s="80"/>
      <c r="H19" s="337"/>
      <c r="K19" s="360"/>
    </row>
    <row r="20" spans="1:11" s="142" customFormat="1" ht="18" x14ac:dyDescent="0.35">
      <c r="A20" s="1101" t="s">
        <v>293</v>
      </c>
      <c r="B20" s="1035"/>
      <c r="C20" s="500">
        <v>410</v>
      </c>
      <c r="D20" s="501">
        <v>4</v>
      </c>
      <c r="E20" s="10">
        <f>+D20*C20</f>
        <v>1640</v>
      </c>
      <c r="F20" s="80"/>
      <c r="H20" s="337"/>
      <c r="K20" s="360"/>
    </row>
    <row r="21" spans="1:11" s="142" customFormat="1" ht="18" x14ac:dyDescent="0.35">
      <c r="A21" s="1101" t="s">
        <v>291</v>
      </c>
      <c r="B21" s="1035"/>
      <c r="C21" s="500">
        <v>370</v>
      </c>
      <c r="D21" s="501">
        <v>12</v>
      </c>
      <c r="E21" s="10">
        <f>+D21*C21</f>
        <v>4440</v>
      </c>
      <c r="F21" s="80"/>
      <c r="H21" s="337"/>
      <c r="K21" s="360"/>
    </row>
    <row r="22" spans="1:11" s="142" customFormat="1" ht="18.600000000000001" thickBot="1" x14ac:dyDescent="0.4">
      <c r="A22" s="1102" t="s">
        <v>292</v>
      </c>
      <c r="B22" s="1103"/>
      <c r="C22" s="62">
        <f>IF((D22)&gt;0,(E8-E20-E21)/D22,0)</f>
        <v>0</v>
      </c>
      <c r="D22" s="11">
        <f>IF((E7-D20-D21)&gt;0,E7-D20-D21,0)</f>
        <v>0</v>
      </c>
      <c r="E22" s="12">
        <f t="shared" ref="E22" si="1">+D22*C22</f>
        <v>0</v>
      </c>
      <c r="F22" s="80"/>
      <c r="H22" s="519">
        <f>IF(A17="X",D23-E7,"")</f>
        <v>16</v>
      </c>
      <c r="I22" s="520" t="str">
        <f>IF(A17="x","Kontrolle Platzzahl","")</f>
        <v>Kontrolle Platzzahl</v>
      </c>
      <c r="K22" s="360"/>
    </row>
    <row r="23" spans="1:11" s="142" customFormat="1" ht="15.6" thickTop="1" thickBot="1" x14ac:dyDescent="0.35">
      <c r="A23" s="503"/>
      <c r="B23" s="750" t="s">
        <v>266</v>
      </c>
      <c r="C23" s="59">
        <f>+(C20*D20+C21*D21+C22*D22)/D23</f>
        <v>380</v>
      </c>
      <c r="D23" s="60">
        <f>+SUM(D20:D22)</f>
        <v>16</v>
      </c>
      <c r="E23" s="61">
        <f>+SUM(E20:E22)</f>
        <v>6080</v>
      </c>
      <c r="F23" s="80"/>
      <c r="H23" s="519" t="e">
        <f>IF(A17="X",ROUND(E6-C23,2),"")</f>
        <v>#DIV/0!</v>
      </c>
      <c r="I23" s="520" t="str">
        <f>IF(A17="x","Kontrolle Kaltmiete pro Platz","")</f>
        <v>Kontrolle Kaltmiete pro Platz</v>
      </c>
      <c r="K23" s="360"/>
    </row>
    <row r="24" spans="1:11" s="142" customFormat="1" ht="25.5" customHeight="1" x14ac:dyDescent="0.3">
      <c r="A24" s="90"/>
      <c r="B24" s="505"/>
      <c r="C24" s="91"/>
      <c r="D24" s="91"/>
      <c r="E24" s="91"/>
      <c r="F24" s="159"/>
      <c r="H24" s="522" t="e">
        <f>IF(A17="X",ROUND(E8-E23,2),"")</f>
        <v>#DIV/0!</v>
      </c>
      <c r="I24" s="523" t="str">
        <f>IF(A17="x","Kontrolle Kaltmiete gesamt","")</f>
        <v>Kontrolle Kaltmiete gesamt</v>
      </c>
      <c r="K24" s="360"/>
    </row>
    <row r="25" spans="1:11" s="142" customFormat="1" ht="25.8" x14ac:dyDescent="0.5">
      <c r="A25" s="616" t="s">
        <v>193</v>
      </c>
      <c r="B25" s="2"/>
      <c r="C25" s="63" t="str">
        <f>IF(A10="x",A13,IF(A17="x",A20,""))</f>
        <v>Einzel-Appartements</v>
      </c>
      <c r="D25" s="63" t="str">
        <f>IF(A10="x",A14,IF(A17="x",A21,""))</f>
        <v>Zimmer in Wohngruppe</v>
      </c>
      <c r="E25" s="63" t="str">
        <f>IF(A10="x","",IF(A17="x",A22,""))</f>
        <v>Wohngruppe "Würzburger Modell"</v>
      </c>
      <c r="F25" s="7"/>
      <c r="G25" s="506"/>
      <c r="H25" s="507"/>
      <c r="I25" s="84"/>
      <c r="J25" s="84"/>
    </row>
    <row r="26" spans="1:11" s="142" customFormat="1" ht="29.4" x14ac:dyDescent="0.35">
      <c r="A26" s="14"/>
      <c r="B26" s="15"/>
      <c r="C26" s="16" t="s">
        <v>194</v>
      </c>
      <c r="D26" s="16" t="s">
        <v>194</v>
      </c>
      <c r="E26" s="16" t="s">
        <v>194</v>
      </c>
      <c r="F26" s="17" t="s">
        <v>195</v>
      </c>
      <c r="G26" s="508"/>
      <c r="H26" s="507"/>
      <c r="I26" s="84"/>
      <c r="J26" s="84"/>
    </row>
    <row r="27" spans="1:11" s="142" customFormat="1" ht="18" x14ac:dyDescent="0.35">
      <c r="A27" s="14" t="s">
        <v>160</v>
      </c>
      <c r="B27" s="15"/>
      <c r="C27" s="18">
        <f>IF(A10="x",D13,IF(A17="x",D20,E7))</f>
        <v>4</v>
      </c>
      <c r="D27" s="18">
        <f>IF(A10="x",D14,IF(A17="x",D21,""))</f>
        <v>12</v>
      </c>
      <c r="E27" s="18">
        <f>IF(A10="x","",IF(A17="x",D22,""))</f>
        <v>0</v>
      </c>
      <c r="F27" s="19">
        <f>+E7</f>
        <v>0</v>
      </c>
      <c r="G27" s="509"/>
      <c r="H27" s="519">
        <f>IF(A10="x",C27+D27-E7,IF(A17="x",C27+D27+E27-E7,C27-E7))</f>
        <v>16</v>
      </c>
      <c r="I27" s="520" t="s">
        <v>255</v>
      </c>
      <c r="J27" s="510"/>
      <c r="K27" s="502"/>
    </row>
    <row r="28" spans="1:11" s="142" customFormat="1" ht="18" x14ac:dyDescent="0.35">
      <c r="A28" s="20" t="s">
        <v>199</v>
      </c>
      <c r="B28" s="21"/>
      <c r="C28" s="22">
        <f>IF(A10="x",C13,IF(A17="x",C20,E6))</f>
        <v>410</v>
      </c>
      <c r="D28" s="22">
        <f>IF(A10="x",C14,IF(A17="x",C21,""))</f>
        <v>370</v>
      </c>
      <c r="E28" s="22">
        <f>IF(A10="x","",IF(A17="x",C22,""))</f>
        <v>0</v>
      </c>
      <c r="F28" s="22" t="e">
        <f>+'E Mietber.'!I8</f>
        <v>#DIV/0!</v>
      </c>
      <c r="G28" s="511"/>
      <c r="H28" s="521" t="e">
        <f>ROUNDDOWN(IF(A10="x",(C27*C28+D27*D28-E8),IF(A17="x",(C28*C27+D28*D27+E28*E27)-E8,C28*C27-E8)),0)</f>
        <v>#DIV/0!</v>
      </c>
      <c r="I28" s="520" t="s">
        <v>256</v>
      </c>
      <c r="J28" s="510"/>
      <c r="K28" s="502"/>
    </row>
    <row r="29" spans="1:11" s="142" customFormat="1" ht="18" x14ac:dyDescent="0.35">
      <c r="A29" s="20" t="s">
        <v>68</v>
      </c>
      <c r="B29" s="23"/>
      <c r="C29" s="24" t="e">
        <f>+'E Mietber.'!H10</f>
        <v>#DIV/0!</v>
      </c>
      <c r="D29" s="24" t="e">
        <f>IF(A10="x",'E Mietber.'!H10,IF(A17="X",'E Mietber.'!H10,""))</f>
        <v>#DIV/0!</v>
      </c>
      <c r="E29" s="24" t="e">
        <f>IF(A10="x","",IF(A17="x",'E Mietber.'!H10,""))</f>
        <v>#DIV/0!</v>
      </c>
      <c r="F29" s="22" t="e">
        <f>+'E Mietber.'!I10</f>
        <v>#DIV/0!</v>
      </c>
      <c r="G29" s="511"/>
      <c r="H29" s="507"/>
      <c r="I29" s="84"/>
      <c r="J29" s="510"/>
      <c r="K29" s="502"/>
    </row>
    <row r="30" spans="1:11" s="142" customFormat="1" ht="18" x14ac:dyDescent="0.35">
      <c r="A30" s="20" t="s">
        <v>122</v>
      </c>
      <c r="B30" s="21"/>
      <c r="C30" s="22" t="e">
        <f>+'E Mietber.'!H9</f>
        <v>#DIV/0!</v>
      </c>
      <c r="D30" s="22" t="e">
        <f>IF(A10="x",'E Mietber.'!H9,IF(A17="X",'E Mietber.'!H9,""))</f>
        <v>#DIV/0!</v>
      </c>
      <c r="E30" s="22" t="e">
        <f>IF(A10="x","",IF(A17="x",'E Mietber.'!H9,""))</f>
        <v>#DIV/0!</v>
      </c>
      <c r="F30" s="22" t="e">
        <f>+'E Mietber.'!I9</f>
        <v>#DIV/0!</v>
      </c>
      <c r="G30" s="511"/>
      <c r="H30" s="507"/>
      <c r="I30" s="84"/>
      <c r="J30" s="510"/>
      <c r="K30" s="502"/>
    </row>
    <row r="31" spans="1:11" s="142" customFormat="1" ht="18" x14ac:dyDescent="0.35">
      <c r="A31" s="20" t="s">
        <v>245</v>
      </c>
      <c r="B31" s="21"/>
      <c r="C31" s="22">
        <f>+'E Mietber.'!H12</f>
        <v>0</v>
      </c>
      <c r="D31" s="22">
        <f>IF(A10="x",'E Mietber.'!H12,IF(A17="X",'E Mietber.'!H12,""))</f>
        <v>0</v>
      </c>
      <c r="E31" s="22">
        <f>IF(A10="x","",IF(A17="x",'E Mietber.'!H12,""))</f>
        <v>0</v>
      </c>
      <c r="F31" s="22" t="e">
        <f>+'E Mietber.'!I12</f>
        <v>#DIV/0!</v>
      </c>
      <c r="G31" s="511"/>
      <c r="H31" s="507"/>
      <c r="I31" s="84"/>
      <c r="J31" s="510"/>
      <c r="K31" s="502"/>
    </row>
    <row r="32" spans="1:11" s="142" customFormat="1" ht="18" x14ac:dyDescent="0.35">
      <c r="A32" s="20" t="s">
        <v>246</v>
      </c>
      <c r="B32" s="21"/>
      <c r="C32" s="22">
        <f>+'E Mietber.'!H13</f>
        <v>0</v>
      </c>
      <c r="D32" s="22">
        <f>IF(A10="x",'E Mietber.'!H13,IF(A17="X",'E Mietber.'!H13,""))</f>
        <v>0</v>
      </c>
      <c r="E32" s="22">
        <f>IF(A10="x","",IF(A17="x",'E Mietber.'!H13,""))</f>
        <v>0</v>
      </c>
      <c r="F32" s="22">
        <f>+'E Mietber.'!I13</f>
        <v>0</v>
      </c>
      <c r="G32" s="511"/>
      <c r="H32" s="507"/>
      <c r="I32" s="84"/>
      <c r="J32" s="510"/>
      <c r="K32" s="502"/>
    </row>
    <row r="33" spans="1:11" s="142" customFormat="1" ht="18.600000000000001" thickBot="1" x14ac:dyDescent="0.4">
      <c r="A33" s="25" t="s">
        <v>247</v>
      </c>
      <c r="B33" s="26"/>
      <c r="C33" s="27">
        <f>+'E Mietber.'!H14</f>
        <v>0</v>
      </c>
      <c r="D33" s="27">
        <f>IF(A10="x",'E Mietber.'!H14,IF(A17="X",'E Mietber.'!H14,""))</f>
        <v>0</v>
      </c>
      <c r="E33" s="27">
        <f>IF(A10="x","",IF(A17="x",'E Mietber.'!H14,""))</f>
        <v>0</v>
      </c>
      <c r="F33" s="27">
        <f>+'E Mietber.'!I14</f>
        <v>0</v>
      </c>
      <c r="G33" s="511"/>
      <c r="H33" s="507"/>
      <c r="I33" s="84"/>
      <c r="J33" s="510"/>
      <c r="K33" s="502"/>
    </row>
    <row r="34" spans="1:11" s="142" customFormat="1" ht="18.600000000000001" thickTop="1" x14ac:dyDescent="0.35">
      <c r="A34" s="28" t="s">
        <v>200</v>
      </c>
      <c r="B34" s="29"/>
      <c r="C34" s="30" t="e">
        <f>SUM(C28:C33)</f>
        <v>#DIV/0!</v>
      </c>
      <c r="D34" s="30" t="e">
        <f>IF(A10="x",SUM(D28:D33),IF(A17="X",SUM(D28:D33),""))</f>
        <v>#DIV/0!</v>
      </c>
      <c r="E34" s="30" t="e">
        <f>IF(A10="x","",IF(A17="x",SUM(E28:E33),""))</f>
        <v>#DIV/0!</v>
      </c>
      <c r="F34" s="30" t="e">
        <f>+SUM(F28:F33)</f>
        <v>#DIV/0!</v>
      </c>
      <c r="G34" s="511"/>
      <c r="H34" s="521" t="e">
        <f>ROUNDDOWN(IF(A10="x",(C34*C27+D34*D27+F34*F27)-'Erg.-Übersicht'!D20*'Erg.-Übersicht'!D8,IF(A17="x",(C34*C27+D34*D27+E34*E27+F34*F27)-'Erg.-Übersicht'!D20*'Erg.-Übersicht'!D8,C34*C27+F34*F27-'Erg.-Übersicht'!D20*'Erg.-Übersicht'!D8)),0)</f>
        <v>#DIV/0!</v>
      </c>
      <c r="I34" s="520" t="s">
        <v>263</v>
      </c>
      <c r="J34" s="510"/>
      <c r="K34" s="502"/>
    </row>
    <row r="35" spans="1:11" s="142" customFormat="1" ht="15" thickBot="1" x14ac:dyDescent="0.35">
      <c r="A35" s="31"/>
      <c r="B35" s="3"/>
      <c r="C35" s="32"/>
      <c r="D35" s="32"/>
      <c r="E35" s="32"/>
      <c r="F35" s="33"/>
      <c r="G35" s="507"/>
      <c r="H35" s="507"/>
      <c r="I35" s="84"/>
      <c r="J35" s="510"/>
      <c r="K35" s="502"/>
    </row>
    <row r="36" spans="1:11" s="142" customFormat="1" ht="18.600000000000001" thickTop="1" x14ac:dyDescent="0.35">
      <c r="A36" s="34" t="s">
        <v>202</v>
      </c>
      <c r="B36" s="35"/>
      <c r="C36" s="989" t="e">
        <f>IF(C34&gt;('E Mietber.'!H22+'E Mietber.'!F29),('E Mietber.'!H22+'E Mietber.'!F29),C34)</f>
        <v>#DIV/0!</v>
      </c>
      <c r="D36" s="989" t="e">
        <f>IF(A10="x",IF(D34&gt;('E Mietber.'!H22+'E Mietber.'!F29),('E Mietber.'!H22+'E Mietber.'!F29),D34),IF(A17="x",IF(D34&gt;('E Mietber.'!H22+'E Mietber.'!F29),('E Mietber.'!H22+'E Mietber.'!F29),D34),""))</f>
        <v>#DIV/0!</v>
      </c>
      <c r="E36" s="989" t="e">
        <f>IF(A10="x","",IF(A17="x",IF(E34&gt;('E Mietber.'!H22+'E Mietber.'!F29),('E Mietber.'!H22+'E Mietber.'!F29),E34),""))</f>
        <v>#DIV/0!</v>
      </c>
      <c r="F36" s="991"/>
      <c r="G36" s="512"/>
      <c r="H36" s="507"/>
      <c r="I36" s="84"/>
      <c r="J36" s="510"/>
      <c r="K36" s="502"/>
    </row>
    <row r="37" spans="1:11" s="142" customFormat="1" ht="15" thickBot="1" x14ac:dyDescent="0.35">
      <c r="A37" s="610" t="s">
        <v>203</v>
      </c>
      <c r="B37" s="36"/>
      <c r="C37" s="990"/>
      <c r="D37" s="990"/>
      <c r="E37" s="990"/>
      <c r="F37" s="992"/>
      <c r="G37" s="513"/>
      <c r="H37" s="507"/>
      <c r="I37" s="84"/>
      <c r="J37" s="510"/>
      <c r="K37" s="502"/>
    </row>
    <row r="38" spans="1:11" s="142" customFormat="1" ht="15" thickTop="1" x14ac:dyDescent="0.3">
      <c r="A38" s="748" t="e">
        <f>+IF('E Mietber.'!H24&lt;0,"Achtung! Da KdU&lt;100% ggfs Regelsatz-Absenkung für Nebenkosten wegen anderweitiger Bedarfsdeckung","")</f>
        <v>#DIV/0!</v>
      </c>
      <c r="B38" s="37"/>
      <c r="C38" s="3"/>
      <c r="D38" s="3"/>
      <c r="E38" s="3"/>
      <c r="F38" s="7"/>
      <c r="G38" s="506"/>
      <c r="H38" s="507"/>
      <c r="I38" s="84"/>
      <c r="J38" s="510"/>
      <c r="K38" s="502"/>
    </row>
    <row r="39" spans="1:11" s="142" customFormat="1" ht="18" x14ac:dyDescent="0.35">
      <c r="A39" s="38" t="s">
        <v>204</v>
      </c>
      <c r="B39" s="23"/>
      <c r="C39" s="982" t="e">
        <f>+C34-C36</f>
        <v>#DIV/0!</v>
      </c>
      <c r="D39" s="982" t="e">
        <f>IF(A10="x",D34-D36,IF(A17="X",D34-D36,""))</f>
        <v>#DIV/0!</v>
      </c>
      <c r="E39" s="982" t="e">
        <f>IF(A10="x","",IF(A17="x",E34-E36,""))</f>
        <v>#DIV/0!</v>
      </c>
      <c r="F39" s="980"/>
      <c r="G39" s="512"/>
      <c r="H39" s="507"/>
      <c r="I39" s="84"/>
      <c r="J39" s="510"/>
      <c r="K39" s="502"/>
    </row>
    <row r="40" spans="1:11" s="142" customFormat="1" x14ac:dyDescent="0.3">
      <c r="A40" s="968" t="s">
        <v>257</v>
      </c>
      <c r="B40" s="970"/>
      <c r="C40" s="983"/>
      <c r="D40" s="983"/>
      <c r="E40" s="983"/>
      <c r="F40" s="1115"/>
      <c r="G40" s="513"/>
      <c r="H40" s="507"/>
      <c r="I40" s="84"/>
      <c r="J40" s="510"/>
      <c r="K40" s="502"/>
    </row>
    <row r="41" spans="1:11" s="142" customFormat="1" x14ac:dyDescent="0.3">
      <c r="A41" s="968"/>
      <c r="B41" s="970"/>
      <c r="C41" s="972" t="s">
        <v>348</v>
      </c>
      <c r="D41" s="972" t="s">
        <v>348</v>
      </c>
      <c r="E41" s="972" t="s">
        <v>348</v>
      </c>
      <c r="F41" s="969"/>
      <c r="G41" s="513"/>
      <c r="H41" s="507"/>
      <c r="I41" s="84"/>
      <c r="J41" s="510"/>
      <c r="K41" s="502"/>
    </row>
    <row r="42" spans="1:11" s="142" customFormat="1" x14ac:dyDescent="0.3">
      <c r="A42" s="40"/>
      <c r="B42" s="971"/>
      <c r="C42" s="973" t="e">
        <f>+C39/30.42</f>
        <v>#DIV/0!</v>
      </c>
      <c r="D42" s="973" t="e">
        <f>+D39/30.42</f>
        <v>#DIV/0!</v>
      </c>
      <c r="E42" s="973" t="e">
        <f>+E39/30.42</f>
        <v>#DIV/0!</v>
      </c>
      <c r="F42" s="967"/>
      <c r="G42" s="513"/>
      <c r="H42" s="507"/>
      <c r="I42" s="84"/>
      <c r="J42" s="510"/>
      <c r="K42" s="502"/>
    </row>
    <row r="43" spans="1:11" s="142" customFormat="1" ht="18" x14ac:dyDescent="0.35">
      <c r="A43" s="38" t="s">
        <v>205</v>
      </c>
      <c r="B43" s="39"/>
      <c r="C43" s="980" t="e">
        <f>F34</f>
        <v>#DIV/0!</v>
      </c>
      <c r="D43" s="980" t="e">
        <f>IF(A10="x",F34,IF(A17="x",F34,""))</f>
        <v>#DIV/0!</v>
      </c>
      <c r="E43" s="980" t="e">
        <f>IF(A10="x","",IF(A17="x",F34,""))</f>
        <v>#DIV/0!</v>
      </c>
      <c r="F43" s="982" t="e">
        <f>+'E Mietber.'!I46</f>
        <v>#DIV/0!</v>
      </c>
      <c r="G43" s="512"/>
      <c r="H43" s="507"/>
      <c r="I43" s="84"/>
      <c r="J43" s="510"/>
      <c r="K43" s="502"/>
    </row>
    <row r="44" spans="1:11" s="142" customFormat="1" ht="18" x14ac:dyDescent="0.35">
      <c r="A44" s="42" t="s">
        <v>206</v>
      </c>
      <c r="B44" s="43"/>
      <c r="C44" s="1104"/>
      <c r="D44" s="1104"/>
      <c r="E44" s="1104"/>
      <c r="F44" s="983"/>
      <c r="G44" s="513"/>
      <c r="H44" s="507"/>
      <c r="I44" s="84"/>
      <c r="J44" s="510"/>
      <c r="K44" s="502"/>
    </row>
    <row r="45" spans="1:11" s="142" customFormat="1" ht="14.4" customHeight="1" x14ac:dyDescent="0.3">
      <c r="A45" s="817"/>
      <c r="B45" s="815"/>
      <c r="C45" s="974" t="s">
        <v>348</v>
      </c>
      <c r="D45" s="974" t="s">
        <v>348</v>
      </c>
      <c r="E45" s="974" t="s">
        <v>348</v>
      </c>
      <c r="F45" s="972" t="s">
        <v>348</v>
      </c>
      <c r="G45" s="513"/>
      <c r="H45" s="507"/>
      <c r="I45" s="84"/>
      <c r="J45" s="510"/>
      <c r="K45" s="502"/>
    </row>
    <row r="46" spans="1:11" s="142" customFormat="1" ht="15" thickBot="1" x14ac:dyDescent="0.35">
      <c r="A46" s="817"/>
      <c r="B46" s="815"/>
      <c r="C46" s="975" t="e">
        <f t="shared" ref="C46:E46" si="2">+C43/30.42</f>
        <v>#DIV/0!</v>
      </c>
      <c r="D46" s="975" t="e">
        <f t="shared" si="2"/>
        <v>#DIV/0!</v>
      </c>
      <c r="E46" s="975" t="e">
        <f t="shared" si="2"/>
        <v>#DIV/0!</v>
      </c>
      <c r="F46" s="973" t="e">
        <f>+F43/30.42</f>
        <v>#DIV/0!</v>
      </c>
      <c r="G46" s="513"/>
      <c r="H46" s="507"/>
      <c r="I46" s="84"/>
      <c r="J46" s="510"/>
      <c r="K46" s="502"/>
    </row>
    <row r="47" spans="1:11" s="142" customFormat="1" ht="18.600000000000001" thickTop="1" x14ac:dyDescent="0.35">
      <c r="A47" s="34" t="s">
        <v>207</v>
      </c>
      <c r="B47" s="35"/>
      <c r="C47" s="1109" t="e">
        <f>+C43+C39</f>
        <v>#DIV/0!</v>
      </c>
      <c r="D47" s="1109" t="e">
        <f>IF(A10="x",D43+D39,IF(A17="x",D43+D39,""))</f>
        <v>#DIV/0!</v>
      </c>
      <c r="E47" s="1109" t="e">
        <f>IF(A10="x","",IF(A17="x",E43+E39,""))</f>
        <v>#DIV/0!</v>
      </c>
      <c r="F47" s="985"/>
      <c r="G47" s="514"/>
      <c r="H47" s="507"/>
      <c r="I47" s="84"/>
      <c r="J47" s="510"/>
      <c r="K47" s="502"/>
    </row>
    <row r="48" spans="1:11" s="142" customFormat="1" ht="18.600000000000001" thickBot="1" x14ac:dyDescent="0.4">
      <c r="A48" s="44" t="s">
        <v>208</v>
      </c>
      <c r="B48" s="45"/>
      <c r="C48" s="1110"/>
      <c r="D48" s="1110"/>
      <c r="E48" s="1110"/>
      <c r="F48" s="986"/>
      <c r="G48" s="515"/>
      <c r="H48" s="507"/>
      <c r="I48" s="84"/>
      <c r="J48" s="510"/>
      <c r="K48" s="502"/>
    </row>
    <row r="49" spans="1:11" s="142" customFormat="1" ht="15.6" thickTop="1" thickBot="1" x14ac:dyDescent="0.35">
      <c r="A49" s="31"/>
      <c r="B49" s="3"/>
      <c r="C49" s="3"/>
      <c r="D49" s="3"/>
      <c r="E49" s="3"/>
      <c r="F49" s="7"/>
      <c r="G49" s="506"/>
      <c r="H49" s="507"/>
      <c r="I49" s="84"/>
      <c r="J49" s="510"/>
      <c r="K49" s="502"/>
    </row>
    <row r="50" spans="1:11" s="142" customFormat="1" ht="18.600000000000001" thickBot="1" x14ac:dyDescent="0.4">
      <c r="A50" s="46" t="s">
        <v>200</v>
      </c>
      <c r="B50" s="47"/>
      <c r="C50" s="48" t="e">
        <f>+C47+C36</f>
        <v>#DIV/0!</v>
      </c>
      <c r="D50" s="49" t="e">
        <f>IF(A10="x",D47+D36,IF(A17="x",D47+D36,""))</f>
        <v>#DIV/0!</v>
      </c>
      <c r="E50" s="50" t="e">
        <f>IF(A10="x","",IF(A17="x",E47+E36,""))</f>
        <v>#DIV/0!</v>
      </c>
      <c r="F50" s="7"/>
      <c r="G50" s="506"/>
      <c r="H50" s="521" t="e">
        <f>ROUNDDOWN(IF(A10="x",(C50*C27+D50*D27-'Erg.-Übersicht'!D20*'Erg.-Übersicht'!D8),(C50*C27+D50*D27+E50*E27-'Erg.-Übersicht'!D20*'Erg.-Übersicht'!D8)),0)</f>
        <v>#DIV/0!</v>
      </c>
      <c r="I50" s="520" t="s">
        <v>263</v>
      </c>
      <c r="J50" s="510"/>
      <c r="K50" s="502"/>
    </row>
    <row r="51" spans="1:11" s="142" customFormat="1" ht="14.25" customHeight="1" x14ac:dyDescent="0.3">
      <c r="A51" s="31"/>
      <c r="B51" s="3"/>
      <c r="C51" s="3"/>
      <c r="D51" s="3"/>
      <c r="E51" s="3"/>
      <c r="F51" s="7"/>
      <c r="G51" s="506"/>
      <c r="H51" s="507"/>
      <c r="I51" s="84"/>
      <c r="J51" s="510"/>
      <c r="K51" s="502"/>
    </row>
    <row r="52" spans="1:11" s="142" customFormat="1" ht="18" x14ac:dyDescent="0.35">
      <c r="A52" s="51" t="s">
        <v>299</v>
      </c>
      <c r="B52" s="52"/>
      <c r="C52" s="3"/>
      <c r="D52" s="3"/>
      <c r="E52" s="3"/>
      <c r="F52" s="7"/>
      <c r="G52" s="506"/>
      <c r="H52" s="507"/>
      <c r="I52" s="84"/>
      <c r="J52" s="510"/>
      <c r="K52" s="502"/>
    </row>
    <row r="53" spans="1:11" s="142" customFormat="1" ht="18" x14ac:dyDescent="0.35">
      <c r="A53" s="51" t="s">
        <v>209</v>
      </c>
      <c r="B53" s="52"/>
      <c r="C53" s="53"/>
      <c r="D53" s="3"/>
      <c r="E53" s="3"/>
      <c r="F53" s="7"/>
      <c r="G53" s="506"/>
      <c r="H53" s="507"/>
      <c r="I53" s="84"/>
      <c r="J53" s="510"/>
      <c r="K53" s="502"/>
    </row>
    <row r="54" spans="1:11" s="142" customFormat="1" x14ac:dyDescent="0.3">
      <c r="A54" s="1105" t="s">
        <v>210</v>
      </c>
      <c r="B54" s="1106"/>
      <c r="C54" s="54" t="e">
        <f>+C29</f>
        <v>#DIV/0!</v>
      </c>
      <c r="D54" s="54" t="e">
        <f>IF(A10="x",D29,IF(A17="x",D29,""))</f>
        <v>#DIV/0!</v>
      </c>
      <c r="E54" s="54" t="e">
        <f>IF(A10="x","",IF(A17="x",E29,""))</f>
        <v>#DIV/0!</v>
      </c>
      <c r="F54" s="7"/>
      <c r="G54" s="506"/>
      <c r="H54" s="507"/>
      <c r="I54" s="84"/>
      <c r="J54" s="510"/>
      <c r="K54" s="502"/>
    </row>
    <row r="55" spans="1:11" s="142" customFormat="1" x14ac:dyDescent="0.3">
      <c r="A55" s="1105" t="s">
        <v>211</v>
      </c>
      <c r="B55" s="1106"/>
      <c r="C55" s="54" t="e">
        <f>'C_1 Nebenk.'!E30*'A Flächen'!F184</f>
        <v>#DIV/0!</v>
      </c>
      <c r="D55" s="54" t="e">
        <f>IF(A10="x",'C_1 Nebenk.'!E30*'A Flächen'!F184,IF(A17="x",'C_1 Nebenk.'!E30*'A Flächen'!F184,""))</f>
        <v>#DIV/0!</v>
      </c>
      <c r="E55" s="54" t="e">
        <f>IF(A10="x","",IF(A17="x",'C_1 Nebenk.'!E30*'A Flächen'!F184,""))</f>
        <v>#DIV/0!</v>
      </c>
      <c r="F55" s="7"/>
      <c r="G55" s="506"/>
      <c r="H55" s="507"/>
      <c r="I55" s="84"/>
      <c r="J55" s="510"/>
      <c r="K55" s="502"/>
    </row>
    <row r="56" spans="1:11" s="142" customFormat="1" ht="46.5" customHeight="1" x14ac:dyDescent="0.3">
      <c r="A56" s="1105" t="s">
        <v>301</v>
      </c>
      <c r="B56" s="1106"/>
      <c r="C56" s="54" t="e">
        <f>'B_1 Geb. Kaltmiete'!D109*'A Flächen'!E184*365/12</f>
        <v>#DIV/0!</v>
      </c>
      <c r="D56" s="54" t="e">
        <f>IF(A10="x",'B_1 Geb. Kaltmiete'!D109*'A Flächen'!E184*365/12,IF(A17="x",'B_1 Geb. Kaltmiete'!D109*'A Flächen'!E184*365/12,""))</f>
        <v>#DIV/0!</v>
      </c>
      <c r="E56" s="54" t="e">
        <f>IF(A10="x","",IF(A17="x",'B_1 Geb. Kaltmiete'!D109*'A Flächen'!E184*365/12,""))</f>
        <v>#DIV/0!</v>
      </c>
      <c r="F56" s="7"/>
      <c r="G56" s="506"/>
      <c r="H56" s="507"/>
      <c r="I56" s="84"/>
      <c r="J56" s="510"/>
      <c r="K56" s="502"/>
    </row>
    <row r="57" spans="1:11" s="142" customFormat="1" ht="29.25" customHeight="1" x14ac:dyDescent="0.3">
      <c r="A57" s="1105" t="s">
        <v>212</v>
      </c>
      <c r="B57" s="1106"/>
      <c r="C57" s="54" t="e">
        <f>+'C_1 Nebenk.'!E27</f>
        <v>#DIV/0!</v>
      </c>
      <c r="D57" s="54" t="e">
        <f>IF(A10="x",'C_1 Nebenk.'!E27,IF(A17="x",'C_1 Nebenk.'!E27,""))</f>
        <v>#DIV/0!</v>
      </c>
      <c r="E57" s="54" t="e">
        <f>IF(A10="x","",IF(A17="x",'C_1 Nebenk.'!E27,""))</f>
        <v>#DIV/0!</v>
      </c>
      <c r="F57" s="7"/>
      <c r="G57" s="506"/>
      <c r="H57" s="507"/>
      <c r="I57" s="84"/>
      <c r="J57" s="510"/>
      <c r="K57" s="502"/>
    </row>
    <row r="58" spans="1:11" s="142" customFormat="1" ht="30.75" customHeight="1" thickBot="1" x14ac:dyDescent="0.35">
      <c r="A58" s="1107" t="s">
        <v>300</v>
      </c>
      <c r="B58" s="1108"/>
      <c r="C58" s="55" t="str">
        <f>IFERROR(IF(C34-C54-C55-C56-C57-'E Mietber.'!H21&gt;0,C34-C54-C55-C56-C57-'E Mietber.'!H21,""),"")</f>
        <v/>
      </c>
      <c r="D58" s="55" t="str">
        <f>IFERROR(IF(D34-D54-D55-D56-D57-'E Mietber.'!H21&gt;0,(IF(A10="x",D34-D54-D55-D56-D57-'E Mietber.'!H21,IF(A17="x",D34-D54-D55-D56-D57-'E Mietber.'!H21,""))),""),"")</f>
        <v/>
      </c>
      <c r="E58" s="55" t="str">
        <f>IFERROR(IF(E34-E54-E55-E56-E57-'E Mietber.'!H21&gt;0,(IF(A10="x","",IF(A17="x",E34-E54-E55-E56-E57-'E Mietber.'!H21,""))),""),"")</f>
        <v/>
      </c>
      <c r="F58" s="7"/>
      <c r="G58" s="506"/>
      <c r="H58" s="507"/>
      <c r="I58" s="506"/>
      <c r="J58" s="516"/>
      <c r="K58" s="517"/>
    </row>
    <row r="59" spans="1:11" s="142" customFormat="1" ht="15.6" thickTop="1" thickBot="1" x14ac:dyDescent="0.35">
      <c r="A59" s="56" t="s">
        <v>302</v>
      </c>
      <c r="B59" s="57"/>
      <c r="C59" s="58" t="e">
        <f>SUM(C54:C58)</f>
        <v>#DIV/0!</v>
      </c>
      <c r="D59" s="58" t="e">
        <f>IF(A10="x",SUM(D54:D58),IF(A17="x",SUM(D54:D58),""))</f>
        <v>#DIV/0!</v>
      </c>
      <c r="E59" s="58" t="e">
        <f>IF(A10="x","",IF(A17="x",SUM(E54:E58),""))</f>
        <v>#DIV/0!</v>
      </c>
      <c r="F59" s="7"/>
      <c r="G59" s="506"/>
      <c r="H59" s="516"/>
      <c r="I59" s="510"/>
    </row>
    <row r="60" spans="1:11" s="142" customFormat="1" x14ac:dyDescent="0.3">
      <c r="A60" s="582"/>
      <c r="B60" s="621"/>
      <c r="C60" s="621"/>
      <c r="D60" s="621"/>
      <c r="E60" s="621"/>
      <c r="F60" s="749"/>
      <c r="G60" s="518"/>
      <c r="H60" s="516"/>
      <c r="I60" s="510"/>
      <c r="J60" s="84"/>
    </row>
    <row r="61" spans="1:11" s="142" customFormat="1" x14ac:dyDescent="0.3">
      <c r="A61" s="579" t="s">
        <v>312</v>
      </c>
      <c r="B61" s="3"/>
      <c r="C61" s="3"/>
      <c r="D61" s="3"/>
      <c r="E61" s="3"/>
      <c r="F61" s="7"/>
      <c r="G61" s="506"/>
      <c r="H61" s="507"/>
      <c r="I61" s="84"/>
      <c r="J61" s="84"/>
    </row>
    <row r="62" spans="1:11" x14ac:dyDescent="0.3">
      <c r="A62" s="580" t="s">
        <v>316</v>
      </c>
      <c r="B62" s="581"/>
      <c r="C62" s="581"/>
      <c r="D62" s="1"/>
      <c r="E62" s="581"/>
      <c r="F62" s="7"/>
      <c r="G62" s="506"/>
      <c r="H62" s="507"/>
      <c r="I62" s="84"/>
      <c r="J62" s="441"/>
    </row>
    <row r="63" spans="1:11" x14ac:dyDescent="0.3">
      <c r="A63" s="582" t="s">
        <v>315</v>
      </c>
      <c r="B63" s="582"/>
      <c r="C63" s="8">
        <f>+'E Mietber.'!H21</f>
        <v>0</v>
      </c>
      <c r="D63" s="8">
        <f>IF(A10="x",'E Mietber.'!H21,IF(A17="x",'E Mietber.'!H21,""))</f>
        <v>0</v>
      </c>
      <c r="E63" s="8">
        <f>IF(A10="x","",IF(A17="x",'E Mietber.'!H21,""))</f>
        <v>0</v>
      </c>
      <c r="F63" s="7"/>
      <c r="G63" s="506"/>
      <c r="H63" s="521">
        <f>ROUNDDOWN(IF(A10="x",(C63+D63-2*'E Mietber.'!H21),('Zimmer-Kat.'!C63+'Zimmer-Kat.'!D63+'Zimmer-Kat.'!E63-3*'E Mietber.'!H21)),0)</f>
        <v>0</v>
      </c>
      <c r="I63" s="520" t="s">
        <v>6</v>
      </c>
      <c r="J63" s="441"/>
    </row>
    <row r="64" spans="1:11" x14ac:dyDescent="0.3">
      <c r="A64" s="583" t="s">
        <v>314</v>
      </c>
      <c r="B64" s="583"/>
      <c r="C64" s="584" t="e">
        <f>C34/C63-1</f>
        <v>#DIV/0!</v>
      </c>
      <c r="D64" s="584" t="e">
        <f>IF(A10="x",D34/D63-1,IF(A17="x",D34/D63-1,""))</f>
        <v>#DIV/0!</v>
      </c>
      <c r="E64" s="584" t="e">
        <f>IF(A10="x","",IF(A17="x",E34/E63-1,""))</f>
        <v>#DIV/0!</v>
      </c>
      <c r="F64" s="7"/>
      <c r="G64" s="506"/>
      <c r="H64" s="521" t="e">
        <f>ROUNDDOWN(IF(A10="x",((C64*C27+D64*D27)/(C27+D27)-'Erg.-Übersicht'!B50),((C64*C27+D64*D27+E64*E27)/(C27+D27+E27)-'Erg.-Übersicht'!B50)),0)</f>
        <v>#DIV/0!</v>
      </c>
      <c r="I64" s="520" t="s">
        <v>6</v>
      </c>
      <c r="J64" s="441"/>
    </row>
    <row r="65" spans="1:10" x14ac:dyDescent="0.3">
      <c r="A65" s="583" t="s">
        <v>311</v>
      </c>
      <c r="B65" s="583"/>
      <c r="C65" s="8">
        <f>+'Erg.-Übersicht'!B49*1.25</f>
        <v>0</v>
      </c>
      <c r="D65" s="8">
        <f>IF(A10="x",'Erg.-Übersicht'!B49*1.25,IF(A17="x",'Erg.-Übersicht'!B49*1.25,""))</f>
        <v>0</v>
      </c>
      <c r="E65" s="8">
        <f>IF(A10="x","",IF(A17="x",'Erg.-Übersicht'!B49*1.25,""))</f>
        <v>0</v>
      </c>
      <c r="F65" s="749"/>
      <c r="G65" s="506"/>
      <c r="H65" s="521">
        <f>ROUNDDOWN(IF(A10="x",(C65+D65-2*('E Mietber.'!H21+'E Mietber.'!F29)),('Zimmer-Kat.'!C65+'Zimmer-Kat.'!D65+'Zimmer-Kat.'!E65-3*('E Mietber.'!H21+'E Mietber.'!F29))),0)</f>
        <v>0</v>
      </c>
      <c r="I65" s="520" t="s">
        <v>6</v>
      </c>
      <c r="J65" s="441"/>
    </row>
    <row r="66" spans="1:10" x14ac:dyDescent="0.3">
      <c r="H66" s="441"/>
      <c r="I66" s="441"/>
      <c r="J66" s="441"/>
    </row>
    <row r="67" spans="1:10" x14ac:dyDescent="0.3">
      <c r="H67" s="441"/>
      <c r="I67" s="441"/>
      <c r="J67" s="441"/>
    </row>
    <row r="68" spans="1:10" x14ac:dyDescent="0.3">
      <c r="H68" s="441"/>
      <c r="I68" s="441"/>
      <c r="J68" s="441"/>
    </row>
    <row r="69" spans="1:10" x14ac:dyDescent="0.3">
      <c r="H69" s="441"/>
      <c r="I69" s="441"/>
      <c r="J69" s="441"/>
    </row>
    <row r="70" spans="1:10" x14ac:dyDescent="0.3">
      <c r="H70" s="441"/>
      <c r="I70" s="441"/>
      <c r="J70" s="441"/>
    </row>
    <row r="71" spans="1:10" x14ac:dyDescent="0.3">
      <c r="H71" s="441"/>
      <c r="I71" s="441"/>
      <c r="J71" s="441"/>
    </row>
    <row r="72" spans="1:10" x14ac:dyDescent="0.3">
      <c r="H72" s="441"/>
      <c r="I72" s="441"/>
      <c r="J72" s="441"/>
    </row>
    <row r="73" spans="1:10" x14ac:dyDescent="0.3">
      <c r="H73" s="441"/>
      <c r="I73" s="441"/>
      <c r="J73" s="441"/>
    </row>
    <row r="74" spans="1:10" x14ac:dyDescent="0.3">
      <c r="H74" s="441"/>
      <c r="I74" s="441"/>
      <c r="J74" s="441"/>
    </row>
    <row r="75" spans="1:10" x14ac:dyDescent="0.3">
      <c r="H75" s="441"/>
      <c r="I75" s="441"/>
      <c r="J75" s="441"/>
    </row>
    <row r="76" spans="1:10" x14ac:dyDescent="0.3">
      <c r="H76" s="441"/>
      <c r="I76" s="441"/>
      <c r="J76" s="441"/>
    </row>
    <row r="77" spans="1:10" x14ac:dyDescent="0.3">
      <c r="H77" s="441"/>
      <c r="I77" s="441"/>
      <c r="J77" s="441"/>
    </row>
    <row r="78" spans="1:10" x14ac:dyDescent="0.3">
      <c r="H78" s="441"/>
      <c r="I78" s="441"/>
      <c r="J78" s="441"/>
    </row>
    <row r="79" spans="1:10" x14ac:dyDescent="0.3">
      <c r="H79" s="441"/>
      <c r="I79" s="441"/>
      <c r="J79" s="441"/>
    </row>
    <row r="80" spans="1:10" x14ac:dyDescent="0.3">
      <c r="H80" s="441"/>
      <c r="I80" s="441"/>
      <c r="J80" s="441"/>
    </row>
    <row r="81" spans="8:10" x14ac:dyDescent="0.3">
      <c r="H81" s="441"/>
      <c r="I81" s="441"/>
      <c r="J81" s="441"/>
    </row>
    <row r="82" spans="8:10" x14ac:dyDescent="0.3">
      <c r="H82" s="441"/>
      <c r="I82" s="441"/>
      <c r="J82" s="441"/>
    </row>
    <row r="83" spans="8:10" x14ac:dyDescent="0.3">
      <c r="H83" s="441"/>
      <c r="I83" s="441"/>
      <c r="J83" s="441"/>
    </row>
    <row r="84" spans="8:10" x14ac:dyDescent="0.3">
      <c r="H84" s="441"/>
      <c r="I84" s="441"/>
      <c r="J84" s="441"/>
    </row>
    <row r="85" spans="8:10" x14ac:dyDescent="0.3">
      <c r="H85" s="441"/>
      <c r="I85" s="441"/>
      <c r="J85" s="441"/>
    </row>
    <row r="86" spans="8:10" x14ac:dyDescent="0.3">
      <c r="H86" s="441"/>
      <c r="I86" s="441"/>
      <c r="J86" s="441"/>
    </row>
    <row r="87" spans="8:10" x14ac:dyDescent="0.3">
      <c r="H87" s="441"/>
      <c r="I87" s="441"/>
      <c r="J87" s="441"/>
    </row>
    <row r="88" spans="8:10" x14ac:dyDescent="0.3">
      <c r="H88" s="441"/>
      <c r="I88" s="441"/>
      <c r="J88" s="441"/>
    </row>
    <row r="89" spans="8:10" x14ac:dyDescent="0.3">
      <c r="H89" s="441"/>
      <c r="I89" s="441"/>
      <c r="J89" s="441"/>
    </row>
    <row r="90" spans="8:10" x14ac:dyDescent="0.3">
      <c r="H90" s="441"/>
      <c r="I90" s="441"/>
      <c r="J90" s="441"/>
    </row>
    <row r="91" spans="8:10" x14ac:dyDescent="0.3">
      <c r="H91" s="441"/>
      <c r="I91" s="441"/>
      <c r="J91" s="441"/>
    </row>
    <row r="92" spans="8:10" x14ac:dyDescent="0.3">
      <c r="H92" s="441"/>
      <c r="I92" s="441"/>
      <c r="J92" s="441"/>
    </row>
    <row r="93" spans="8:10" x14ac:dyDescent="0.3">
      <c r="H93" s="441"/>
      <c r="I93" s="441"/>
      <c r="J93" s="441"/>
    </row>
    <row r="94" spans="8:10" x14ac:dyDescent="0.3">
      <c r="H94" s="441"/>
      <c r="I94" s="441"/>
      <c r="J94" s="441"/>
    </row>
    <row r="95" spans="8:10" x14ac:dyDescent="0.3">
      <c r="H95" s="441"/>
      <c r="I95" s="441"/>
      <c r="J95" s="441"/>
    </row>
    <row r="96" spans="8:10" x14ac:dyDescent="0.3">
      <c r="H96" s="441"/>
      <c r="I96" s="441"/>
      <c r="J96" s="441"/>
    </row>
    <row r="97" spans="8:10" x14ac:dyDescent="0.3">
      <c r="H97" s="441"/>
      <c r="I97" s="441"/>
      <c r="J97" s="441"/>
    </row>
    <row r="98" spans="8:10" x14ac:dyDescent="0.3">
      <c r="H98" s="441"/>
      <c r="I98" s="441"/>
      <c r="J98" s="441"/>
    </row>
    <row r="99" spans="8:10" x14ac:dyDescent="0.3">
      <c r="H99" s="441"/>
      <c r="I99" s="441"/>
      <c r="J99" s="441"/>
    </row>
    <row r="100" spans="8:10" x14ac:dyDescent="0.3">
      <c r="H100" s="441"/>
      <c r="I100" s="441"/>
      <c r="J100" s="441"/>
    </row>
    <row r="101" spans="8:10" x14ac:dyDescent="0.3">
      <c r="H101" s="441"/>
      <c r="I101" s="441"/>
      <c r="J101" s="441"/>
    </row>
    <row r="102" spans="8:10" x14ac:dyDescent="0.3">
      <c r="H102" s="441"/>
      <c r="I102" s="441"/>
      <c r="J102" s="441"/>
    </row>
    <row r="103" spans="8:10" x14ac:dyDescent="0.3">
      <c r="H103" s="441"/>
      <c r="I103" s="441"/>
      <c r="J103" s="441"/>
    </row>
    <row r="104" spans="8:10" x14ac:dyDescent="0.3">
      <c r="H104" s="441"/>
      <c r="I104" s="441"/>
      <c r="J104" s="441"/>
    </row>
    <row r="105" spans="8:10" x14ac:dyDescent="0.3">
      <c r="H105" s="441"/>
      <c r="I105" s="441"/>
      <c r="J105" s="441"/>
    </row>
    <row r="106" spans="8:10" x14ac:dyDescent="0.3">
      <c r="H106" s="441"/>
      <c r="I106" s="441"/>
      <c r="J106" s="441"/>
    </row>
    <row r="107" spans="8:10" x14ac:dyDescent="0.3">
      <c r="H107" s="441"/>
      <c r="I107" s="441"/>
      <c r="J107" s="441"/>
    </row>
    <row r="108" spans="8:10" x14ac:dyDescent="0.3">
      <c r="H108" s="441"/>
      <c r="I108" s="441"/>
      <c r="J108" s="441"/>
    </row>
  </sheetData>
  <sheetProtection algorithmName="SHA-512" hashValue="R/IO1WIwdTtNXdFr1nd/tLVVPq+twT+t0q6J29kXTAoPhjKCUe5RTRserZ61y576A/mXf2lxOo5LDIp4W1WeFQ==" saltValue="vI6jngXSeKbkE+eBZQfAQw==" spinCount="100000" sheet="1" objects="1" scenarios="1"/>
  <mergeCells count="29">
    <mergeCell ref="E47:E48"/>
    <mergeCell ref="A54:B54"/>
    <mergeCell ref="A4:F4"/>
    <mergeCell ref="C43:C44"/>
    <mergeCell ref="F43:F44"/>
    <mergeCell ref="C47:C48"/>
    <mergeCell ref="F47:F48"/>
    <mergeCell ref="C36:C37"/>
    <mergeCell ref="F36:F37"/>
    <mergeCell ref="C39:C40"/>
    <mergeCell ref="F39:F40"/>
    <mergeCell ref="A17:A18"/>
    <mergeCell ref="A20:B20"/>
    <mergeCell ref="A21:B21"/>
    <mergeCell ref="A22:B22"/>
    <mergeCell ref="D36:D37"/>
    <mergeCell ref="A56:B56"/>
    <mergeCell ref="A55:B55"/>
    <mergeCell ref="A57:B57"/>
    <mergeCell ref="A58:B58"/>
    <mergeCell ref="D47:D48"/>
    <mergeCell ref="A10:A11"/>
    <mergeCell ref="A13:B13"/>
    <mergeCell ref="A14:B14"/>
    <mergeCell ref="D43:D44"/>
    <mergeCell ref="E43:E44"/>
    <mergeCell ref="E39:E40"/>
    <mergeCell ref="E36:E37"/>
    <mergeCell ref="D39:D40"/>
  </mergeCells>
  <conditionalFormatting sqref="A38:B38">
    <cfRule type="containsErrors" dxfId="32" priority="51">
      <formula>ISERROR(A38)</formula>
    </cfRule>
  </conditionalFormatting>
  <conditionalFormatting sqref="H22">
    <cfRule type="expression" dxfId="31" priority="8">
      <formula>$H$22=""</formula>
    </cfRule>
    <cfRule type="expression" dxfId="30" priority="45">
      <formula>H22&lt;&gt;0</formula>
    </cfRule>
  </conditionalFormatting>
  <conditionalFormatting sqref="A20:D21">
    <cfRule type="expression" dxfId="29" priority="35">
      <formula>$A$17="x"</formula>
    </cfRule>
  </conditionalFormatting>
  <conditionalFormatting sqref="A22:B22">
    <cfRule type="expression" dxfId="28" priority="34">
      <formula>$A$17="x"</formula>
    </cfRule>
  </conditionalFormatting>
  <conditionalFormatting sqref="A13:D13">
    <cfRule type="expression" dxfId="27" priority="33">
      <formula>$A$10="x"</formula>
    </cfRule>
  </conditionalFormatting>
  <conditionalFormatting sqref="H14">
    <cfRule type="expression" dxfId="26" priority="13">
      <formula>$H$14=""</formula>
    </cfRule>
    <cfRule type="expression" dxfId="25" priority="31">
      <formula>H14&lt;&gt;0</formula>
    </cfRule>
  </conditionalFormatting>
  <conditionalFormatting sqref="A17:A18">
    <cfRule type="expression" dxfId="24" priority="24">
      <formula>AND($A$10="x",$A$17="x")</formula>
    </cfRule>
    <cfRule type="expression" dxfId="23" priority="25">
      <formula>$A$10="x"</formula>
    </cfRule>
  </conditionalFormatting>
  <conditionalFormatting sqref="A14:B14">
    <cfRule type="expression" dxfId="22" priority="27">
      <formula>$A$10="x"</formula>
    </cfRule>
  </conditionalFormatting>
  <conditionalFormatting sqref="H27">
    <cfRule type="expression" dxfId="21" priority="20">
      <formula>H27&lt;&gt;0</formula>
    </cfRule>
  </conditionalFormatting>
  <conditionalFormatting sqref="H34">
    <cfRule type="expression" dxfId="20" priority="15">
      <formula>H34&lt;&gt;0</formula>
    </cfRule>
  </conditionalFormatting>
  <conditionalFormatting sqref="H28">
    <cfRule type="expression" dxfId="19" priority="16">
      <formula>H28&lt;&gt;0</formula>
    </cfRule>
  </conditionalFormatting>
  <conditionalFormatting sqref="H50">
    <cfRule type="expression" dxfId="18" priority="14">
      <formula>H50&lt;&gt;0</formula>
    </cfRule>
  </conditionalFormatting>
  <conditionalFormatting sqref="A10:A11">
    <cfRule type="expression" dxfId="17" priority="52">
      <formula>IF(AND($A$17="x"),($A$10=""))</formula>
    </cfRule>
    <cfRule type="expression" dxfId="16" priority="53">
      <formula>AND($A$10="x",$A$17="x")</formula>
    </cfRule>
  </conditionalFormatting>
  <conditionalFormatting sqref="H15">
    <cfRule type="expression" dxfId="15" priority="11">
      <formula>$H$14=""</formula>
    </cfRule>
    <cfRule type="expression" dxfId="14" priority="12">
      <formula>H15&lt;&gt;0</formula>
    </cfRule>
  </conditionalFormatting>
  <conditionalFormatting sqref="H16">
    <cfRule type="expression" dxfId="13" priority="9">
      <formula>$H$14=""</formula>
    </cfRule>
    <cfRule type="expression" dxfId="12" priority="10">
      <formula>H16&lt;&gt;0</formula>
    </cfRule>
  </conditionalFormatting>
  <conditionalFormatting sqref="H23">
    <cfRule type="expression" dxfId="11" priority="6">
      <formula>$H$22=""</formula>
    </cfRule>
    <cfRule type="expression" dxfId="10" priority="7">
      <formula>H23&lt;&gt;0</formula>
    </cfRule>
  </conditionalFormatting>
  <conditionalFormatting sqref="H24">
    <cfRule type="expression" dxfId="9" priority="4">
      <formula>$H$22=""</formula>
    </cfRule>
    <cfRule type="expression" dxfId="8" priority="5">
      <formula>H24&lt;&gt;0</formula>
    </cfRule>
  </conditionalFormatting>
  <conditionalFormatting sqref="H63">
    <cfRule type="expression" dxfId="7" priority="3">
      <formula>H63&lt;&gt;0</formula>
    </cfRule>
  </conditionalFormatting>
  <conditionalFormatting sqref="H65">
    <cfRule type="expression" dxfId="6" priority="2">
      <formula>H65&lt;&gt;0</formula>
    </cfRule>
  </conditionalFormatting>
  <conditionalFormatting sqref="H64">
    <cfRule type="expression" dxfId="5" priority="1">
      <formula>H64&lt;&gt;0</formula>
    </cfRule>
  </conditionalFormatting>
  <pageMargins left="0.7" right="0.7" top="0.78740157499999996" bottom="0.78740157499999996" header="0.3" footer="0.3"/>
  <pageSetup paperSize="9" scale="71" orientation="portrait" r:id="rId1"/>
  <rowBreaks count="1" manualBreakCount="1">
    <brk id="51"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87"/>
  <sheetViews>
    <sheetView zoomScaleNormal="100" workbookViewId="0">
      <selection activeCell="A9" sqref="A9"/>
    </sheetView>
  </sheetViews>
  <sheetFormatPr baseColWidth="10" defaultColWidth="11.44140625" defaultRowHeight="14.4" x14ac:dyDescent="0.3"/>
  <cols>
    <col min="1" max="1" width="24" style="119" customWidth="1"/>
    <col min="2" max="2" width="20.44140625" style="119" customWidth="1"/>
    <col min="3" max="3" width="12.6640625" style="119" customWidth="1"/>
    <col min="4" max="4" width="14" style="119" customWidth="1"/>
    <col min="5" max="5" width="17.6640625" style="119" customWidth="1"/>
    <col min="6" max="6" width="16" style="119" customWidth="1"/>
    <col min="7" max="7" width="5.109375" style="119" customWidth="1"/>
    <col min="8" max="8" width="7.6640625" style="119" customWidth="1"/>
    <col min="9" max="9" width="13.33203125" style="119" bestFit="1" customWidth="1"/>
    <col min="10" max="16384" width="11.44140625" style="119"/>
  </cols>
  <sheetData>
    <row r="1" spans="1:6" ht="25.8" x14ac:dyDescent="0.5">
      <c r="A1" s="622" t="s">
        <v>329</v>
      </c>
      <c r="B1" s="689"/>
      <c r="C1" s="654"/>
      <c r="D1" s="654"/>
      <c r="E1" s="627"/>
      <c r="F1" s="620"/>
    </row>
    <row r="2" spans="1:6" ht="25.8" x14ac:dyDescent="0.5">
      <c r="A2" s="656" t="s">
        <v>307</v>
      </c>
      <c r="B2" s="690"/>
      <c r="C2" s="657"/>
      <c r="D2" s="657"/>
      <c r="E2" s="535"/>
      <c r="F2" s="624" t="str">
        <f>+Stammdaten!D2</f>
        <v>Version 1.7</v>
      </c>
    </row>
    <row r="3" spans="1:6" x14ac:dyDescent="0.3">
      <c r="A3" s="393">
        <f>+Stammdaten!B5</f>
        <v>0</v>
      </c>
      <c r="B3" s="691"/>
      <c r="C3" s="307">
        <f>+Stammdaten!B3</f>
        <v>0</v>
      </c>
      <c r="D3" s="307"/>
      <c r="E3" s="625" t="s">
        <v>41</v>
      </c>
      <c r="F3" s="626"/>
    </row>
    <row r="4" spans="1:6" ht="15" thickBot="1" x14ac:dyDescent="0.35">
      <c r="A4" s="408"/>
      <c r="B4" s="409"/>
      <c r="C4" s="120"/>
      <c r="D4" s="120"/>
      <c r="E4" s="120"/>
      <c r="F4" s="198"/>
    </row>
    <row r="5" spans="1:6" ht="105.75" customHeight="1" thickBot="1" x14ac:dyDescent="0.35">
      <c r="A5" s="1020" t="s">
        <v>308</v>
      </c>
      <c r="B5" s="979"/>
      <c r="C5" s="979"/>
      <c r="D5" s="979"/>
      <c r="E5" s="979"/>
      <c r="F5" s="1015"/>
    </row>
    <row r="6" spans="1:6" x14ac:dyDescent="0.3">
      <c r="A6" s="408"/>
      <c r="B6" s="409"/>
      <c r="C6" s="120"/>
      <c r="D6" s="120"/>
      <c r="E6" s="120"/>
      <c r="F6" s="198"/>
    </row>
    <row r="7" spans="1:6" ht="48" customHeight="1" x14ac:dyDescent="0.3">
      <c r="A7" s="1045" t="s">
        <v>285</v>
      </c>
      <c r="B7" s="1046"/>
      <c r="C7" s="1047"/>
      <c r="D7" s="585" t="s">
        <v>178</v>
      </c>
      <c r="E7" s="586" t="s">
        <v>22</v>
      </c>
      <c r="F7" s="586" t="s">
        <v>21</v>
      </c>
    </row>
    <row r="8" spans="1:6" x14ac:dyDescent="0.3">
      <c r="A8" s="587" t="s">
        <v>166</v>
      </c>
      <c r="B8" s="588"/>
      <c r="C8" s="589"/>
      <c r="D8" s="590"/>
      <c r="E8" s="591" t="e">
        <f>+'A Flächen'!E174</f>
        <v>#DIV/0!</v>
      </c>
      <c r="F8" s="592" t="e">
        <f>+'A Flächen'!E175</f>
        <v>#DIV/0!</v>
      </c>
    </row>
    <row r="9" spans="1:6" x14ac:dyDescent="0.3">
      <c r="A9" s="259"/>
      <c r="B9" s="122"/>
      <c r="C9" s="552"/>
      <c r="D9" s="213"/>
      <c r="E9" s="593" t="e">
        <f>+D9*$E$8</f>
        <v>#DIV/0!</v>
      </c>
      <c r="F9" s="551" t="e">
        <f>+D9*$F$8</f>
        <v>#DIV/0!</v>
      </c>
    </row>
    <row r="10" spans="1:6" x14ac:dyDescent="0.3">
      <c r="A10" s="259"/>
      <c r="B10" s="122"/>
      <c r="C10" s="552"/>
      <c r="D10" s="213"/>
      <c r="E10" s="593" t="e">
        <f t="shared" ref="E10:E55" si="0">+D10*$E$8</f>
        <v>#DIV/0!</v>
      </c>
      <c r="F10" s="551" t="e">
        <f t="shared" ref="F10:F55" si="1">+D10*$F$8</f>
        <v>#DIV/0!</v>
      </c>
    </row>
    <row r="11" spans="1:6" x14ac:dyDescent="0.3">
      <c r="A11" s="259"/>
      <c r="B11" s="122"/>
      <c r="C11" s="552"/>
      <c r="D11" s="213"/>
      <c r="E11" s="593" t="e">
        <f t="shared" si="0"/>
        <v>#DIV/0!</v>
      </c>
      <c r="F11" s="551" t="e">
        <f t="shared" si="1"/>
        <v>#DIV/0!</v>
      </c>
    </row>
    <row r="12" spans="1:6" x14ac:dyDescent="0.3">
      <c r="A12" s="259"/>
      <c r="B12" s="122"/>
      <c r="C12" s="552"/>
      <c r="D12" s="213"/>
      <c r="E12" s="593" t="e">
        <f t="shared" si="0"/>
        <v>#DIV/0!</v>
      </c>
      <c r="F12" s="551" t="e">
        <f t="shared" si="1"/>
        <v>#DIV/0!</v>
      </c>
    </row>
    <row r="13" spans="1:6" x14ac:dyDescent="0.3">
      <c r="A13" s="259"/>
      <c r="B13" s="122"/>
      <c r="C13" s="552"/>
      <c r="D13" s="213"/>
      <c r="E13" s="593" t="e">
        <f t="shared" si="0"/>
        <v>#DIV/0!</v>
      </c>
      <c r="F13" s="551" t="e">
        <f t="shared" si="1"/>
        <v>#DIV/0!</v>
      </c>
    </row>
    <row r="14" spans="1:6" x14ac:dyDescent="0.3">
      <c r="A14" s="259"/>
      <c r="B14" s="122"/>
      <c r="C14" s="552"/>
      <c r="D14" s="213"/>
      <c r="E14" s="593" t="e">
        <f t="shared" si="0"/>
        <v>#DIV/0!</v>
      </c>
      <c r="F14" s="551" t="e">
        <f t="shared" si="1"/>
        <v>#DIV/0!</v>
      </c>
    </row>
    <row r="15" spans="1:6" x14ac:dyDescent="0.3">
      <c r="A15" s="259"/>
      <c r="B15" s="122"/>
      <c r="C15" s="552"/>
      <c r="D15" s="213"/>
      <c r="E15" s="593" t="e">
        <f t="shared" si="0"/>
        <v>#DIV/0!</v>
      </c>
      <c r="F15" s="551" t="e">
        <f t="shared" si="1"/>
        <v>#DIV/0!</v>
      </c>
    </row>
    <row r="16" spans="1:6" x14ac:dyDescent="0.3">
      <c r="A16" s="259"/>
      <c r="B16" s="122"/>
      <c r="C16" s="552"/>
      <c r="D16" s="213"/>
      <c r="E16" s="593" t="e">
        <f t="shared" si="0"/>
        <v>#DIV/0!</v>
      </c>
      <c r="F16" s="551" t="e">
        <f t="shared" si="1"/>
        <v>#DIV/0!</v>
      </c>
    </row>
    <row r="17" spans="1:6" x14ac:dyDescent="0.3">
      <c r="A17" s="259"/>
      <c r="B17" s="122"/>
      <c r="C17" s="552"/>
      <c r="D17" s="213"/>
      <c r="E17" s="593" t="e">
        <f t="shared" si="0"/>
        <v>#DIV/0!</v>
      </c>
      <c r="F17" s="551" t="e">
        <f t="shared" si="1"/>
        <v>#DIV/0!</v>
      </c>
    </row>
    <row r="18" spans="1:6" x14ac:dyDescent="0.3">
      <c r="A18" s="259"/>
      <c r="B18" s="122"/>
      <c r="C18" s="552"/>
      <c r="D18" s="213"/>
      <c r="E18" s="593" t="e">
        <f t="shared" si="0"/>
        <v>#DIV/0!</v>
      </c>
      <c r="F18" s="551" t="e">
        <f t="shared" si="1"/>
        <v>#DIV/0!</v>
      </c>
    </row>
    <row r="19" spans="1:6" x14ac:dyDescent="0.3">
      <c r="A19" s="259"/>
      <c r="B19" s="122"/>
      <c r="C19" s="552"/>
      <c r="D19" s="213"/>
      <c r="E19" s="593" t="e">
        <f t="shared" si="0"/>
        <v>#DIV/0!</v>
      </c>
      <c r="F19" s="551" t="e">
        <f t="shared" si="1"/>
        <v>#DIV/0!</v>
      </c>
    </row>
    <row r="20" spans="1:6" x14ac:dyDescent="0.3">
      <c r="A20" s="259"/>
      <c r="B20" s="122"/>
      <c r="C20" s="552"/>
      <c r="D20" s="213"/>
      <c r="E20" s="593" t="e">
        <f t="shared" si="0"/>
        <v>#DIV/0!</v>
      </c>
      <c r="F20" s="551" t="e">
        <f t="shared" si="1"/>
        <v>#DIV/0!</v>
      </c>
    </row>
    <row r="21" spans="1:6" x14ac:dyDescent="0.3">
      <c r="A21" s="259"/>
      <c r="B21" s="122"/>
      <c r="C21" s="552"/>
      <c r="D21" s="213"/>
      <c r="E21" s="593" t="e">
        <f t="shared" si="0"/>
        <v>#DIV/0!</v>
      </c>
      <c r="F21" s="551" t="e">
        <f t="shared" si="1"/>
        <v>#DIV/0!</v>
      </c>
    </row>
    <row r="22" spans="1:6" x14ac:dyDescent="0.3">
      <c r="A22" s="259"/>
      <c r="B22" s="122"/>
      <c r="C22" s="552"/>
      <c r="D22" s="213"/>
      <c r="E22" s="593" t="e">
        <f t="shared" si="0"/>
        <v>#DIV/0!</v>
      </c>
      <c r="F22" s="551" t="e">
        <f t="shared" si="1"/>
        <v>#DIV/0!</v>
      </c>
    </row>
    <row r="23" spans="1:6" x14ac:dyDescent="0.3">
      <c r="A23" s="259"/>
      <c r="B23" s="122"/>
      <c r="C23" s="552"/>
      <c r="D23" s="213"/>
      <c r="E23" s="593" t="e">
        <f t="shared" si="0"/>
        <v>#DIV/0!</v>
      </c>
      <c r="F23" s="551" t="e">
        <f t="shared" si="1"/>
        <v>#DIV/0!</v>
      </c>
    </row>
    <row r="24" spans="1:6" x14ac:dyDescent="0.3">
      <c r="A24" s="259"/>
      <c r="B24" s="122"/>
      <c r="C24" s="552"/>
      <c r="D24" s="213"/>
      <c r="E24" s="593" t="e">
        <f t="shared" si="0"/>
        <v>#DIV/0!</v>
      </c>
      <c r="F24" s="551" t="e">
        <f t="shared" si="1"/>
        <v>#DIV/0!</v>
      </c>
    </row>
    <row r="25" spans="1:6" x14ac:dyDescent="0.3">
      <c r="A25" s="259"/>
      <c r="B25" s="122"/>
      <c r="C25" s="552"/>
      <c r="D25" s="213"/>
      <c r="E25" s="593" t="e">
        <f t="shared" si="0"/>
        <v>#DIV/0!</v>
      </c>
      <c r="F25" s="551" t="e">
        <f t="shared" si="1"/>
        <v>#DIV/0!</v>
      </c>
    </row>
    <row r="26" spans="1:6" x14ac:dyDescent="0.3">
      <c r="A26" s="259"/>
      <c r="B26" s="122"/>
      <c r="C26" s="552"/>
      <c r="D26" s="213"/>
      <c r="E26" s="593" t="e">
        <f t="shared" si="0"/>
        <v>#DIV/0!</v>
      </c>
      <c r="F26" s="551" t="e">
        <f t="shared" si="1"/>
        <v>#DIV/0!</v>
      </c>
    </row>
    <row r="27" spans="1:6" x14ac:dyDescent="0.3">
      <c r="A27" s="259"/>
      <c r="B27" s="122"/>
      <c r="C27" s="552"/>
      <c r="D27" s="213"/>
      <c r="E27" s="593" t="e">
        <f t="shared" si="0"/>
        <v>#DIV/0!</v>
      </c>
      <c r="F27" s="551" t="e">
        <f t="shared" si="1"/>
        <v>#DIV/0!</v>
      </c>
    </row>
    <row r="28" spans="1:6" x14ac:dyDescent="0.3">
      <c r="A28" s="259"/>
      <c r="B28" s="122"/>
      <c r="C28" s="552"/>
      <c r="D28" s="213"/>
      <c r="E28" s="593" t="e">
        <f t="shared" si="0"/>
        <v>#DIV/0!</v>
      </c>
      <c r="F28" s="551" t="e">
        <f t="shared" si="1"/>
        <v>#DIV/0!</v>
      </c>
    </row>
    <row r="29" spans="1:6" x14ac:dyDescent="0.3">
      <c r="A29" s="259"/>
      <c r="B29" s="122"/>
      <c r="C29" s="552"/>
      <c r="D29" s="213"/>
      <c r="E29" s="593" t="e">
        <f t="shared" si="0"/>
        <v>#DIV/0!</v>
      </c>
      <c r="F29" s="551" t="e">
        <f t="shared" si="1"/>
        <v>#DIV/0!</v>
      </c>
    </row>
    <row r="30" spans="1:6" x14ac:dyDescent="0.3">
      <c r="A30" s="259"/>
      <c r="B30" s="122"/>
      <c r="C30" s="552"/>
      <c r="D30" s="213"/>
      <c r="E30" s="593" t="e">
        <f t="shared" si="0"/>
        <v>#DIV/0!</v>
      </c>
      <c r="F30" s="551" t="e">
        <f t="shared" si="1"/>
        <v>#DIV/0!</v>
      </c>
    </row>
    <row r="31" spans="1:6" x14ac:dyDescent="0.3">
      <c r="A31" s="259"/>
      <c r="B31" s="122"/>
      <c r="C31" s="552"/>
      <c r="D31" s="213"/>
      <c r="E31" s="593" t="e">
        <f t="shared" si="0"/>
        <v>#DIV/0!</v>
      </c>
      <c r="F31" s="551" t="e">
        <f t="shared" si="1"/>
        <v>#DIV/0!</v>
      </c>
    </row>
    <row r="32" spans="1:6" x14ac:dyDescent="0.3">
      <c r="A32" s="259"/>
      <c r="B32" s="122"/>
      <c r="C32" s="552"/>
      <c r="D32" s="213"/>
      <c r="E32" s="593" t="e">
        <f t="shared" si="0"/>
        <v>#DIV/0!</v>
      </c>
      <c r="F32" s="551" t="e">
        <f t="shared" si="1"/>
        <v>#DIV/0!</v>
      </c>
    </row>
    <row r="33" spans="1:6" x14ac:dyDescent="0.3">
      <c r="A33" s="259"/>
      <c r="B33" s="122"/>
      <c r="C33" s="552"/>
      <c r="D33" s="213"/>
      <c r="E33" s="593" t="e">
        <f t="shared" si="0"/>
        <v>#DIV/0!</v>
      </c>
      <c r="F33" s="551" t="e">
        <f t="shared" si="1"/>
        <v>#DIV/0!</v>
      </c>
    </row>
    <row r="34" spans="1:6" x14ac:dyDescent="0.3">
      <c r="A34" s="259"/>
      <c r="B34" s="122"/>
      <c r="C34" s="552"/>
      <c r="D34" s="213"/>
      <c r="E34" s="593" t="e">
        <f t="shared" si="0"/>
        <v>#DIV/0!</v>
      </c>
      <c r="F34" s="551" t="e">
        <f t="shared" si="1"/>
        <v>#DIV/0!</v>
      </c>
    </row>
    <row r="35" spans="1:6" x14ac:dyDescent="0.3">
      <c r="A35" s="259"/>
      <c r="B35" s="122"/>
      <c r="C35" s="552"/>
      <c r="D35" s="213"/>
      <c r="E35" s="593" t="e">
        <f t="shared" si="0"/>
        <v>#DIV/0!</v>
      </c>
      <c r="F35" s="551" t="e">
        <f t="shared" si="1"/>
        <v>#DIV/0!</v>
      </c>
    </row>
    <row r="36" spans="1:6" x14ac:dyDescent="0.3">
      <c r="A36" s="259"/>
      <c r="B36" s="122"/>
      <c r="C36" s="552"/>
      <c r="D36" s="213"/>
      <c r="E36" s="593" t="e">
        <f t="shared" si="0"/>
        <v>#DIV/0!</v>
      </c>
      <c r="F36" s="551" t="e">
        <f t="shared" si="1"/>
        <v>#DIV/0!</v>
      </c>
    </row>
    <row r="37" spans="1:6" x14ac:dyDescent="0.3">
      <c r="A37" s="259"/>
      <c r="B37" s="122"/>
      <c r="C37" s="552"/>
      <c r="D37" s="213"/>
      <c r="E37" s="593" t="e">
        <f t="shared" si="0"/>
        <v>#DIV/0!</v>
      </c>
      <c r="F37" s="551" t="e">
        <f t="shared" si="1"/>
        <v>#DIV/0!</v>
      </c>
    </row>
    <row r="38" spans="1:6" x14ac:dyDescent="0.3">
      <c r="A38" s="259"/>
      <c r="B38" s="122"/>
      <c r="C38" s="552"/>
      <c r="D38" s="213"/>
      <c r="E38" s="593" t="e">
        <f t="shared" si="0"/>
        <v>#DIV/0!</v>
      </c>
      <c r="F38" s="551" t="e">
        <f t="shared" si="1"/>
        <v>#DIV/0!</v>
      </c>
    </row>
    <row r="39" spans="1:6" x14ac:dyDescent="0.3">
      <c r="A39" s="259"/>
      <c r="B39" s="122"/>
      <c r="C39" s="552"/>
      <c r="D39" s="213"/>
      <c r="E39" s="593" t="e">
        <f t="shared" si="0"/>
        <v>#DIV/0!</v>
      </c>
      <c r="F39" s="551" t="e">
        <f t="shared" si="1"/>
        <v>#DIV/0!</v>
      </c>
    </row>
    <row r="40" spans="1:6" x14ac:dyDescent="0.3">
      <c r="A40" s="259"/>
      <c r="B40" s="122"/>
      <c r="C40" s="552"/>
      <c r="D40" s="213"/>
      <c r="E40" s="593" t="e">
        <f t="shared" si="0"/>
        <v>#DIV/0!</v>
      </c>
      <c r="F40" s="551" t="e">
        <f t="shared" si="1"/>
        <v>#DIV/0!</v>
      </c>
    </row>
    <row r="41" spans="1:6" x14ac:dyDescent="0.3">
      <c r="A41" s="259"/>
      <c r="B41" s="122"/>
      <c r="C41" s="552"/>
      <c r="D41" s="213"/>
      <c r="E41" s="593" t="e">
        <f t="shared" si="0"/>
        <v>#DIV/0!</v>
      </c>
      <c r="F41" s="551" t="e">
        <f t="shared" si="1"/>
        <v>#DIV/0!</v>
      </c>
    </row>
    <row r="42" spans="1:6" x14ac:dyDescent="0.3">
      <c r="A42" s="259"/>
      <c r="B42" s="122"/>
      <c r="C42" s="552"/>
      <c r="D42" s="213"/>
      <c r="E42" s="593" t="e">
        <f t="shared" si="0"/>
        <v>#DIV/0!</v>
      </c>
      <c r="F42" s="551" t="e">
        <f t="shared" si="1"/>
        <v>#DIV/0!</v>
      </c>
    </row>
    <row r="43" spans="1:6" x14ac:dyDescent="0.3">
      <c r="A43" s="259"/>
      <c r="B43" s="122"/>
      <c r="C43" s="552"/>
      <c r="D43" s="213"/>
      <c r="E43" s="593" t="e">
        <f t="shared" si="0"/>
        <v>#DIV/0!</v>
      </c>
      <c r="F43" s="551" t="e">
        <f t="shared" si="1"/>
        <v>#DIV/0!</v>
      </c>
    </row>
    <row r="44" spans="1:6" x14ac:dyDescent="0.3">
      <c r="A44" s="259"/>
      <c r="B44" s="122"/>
      <c r="C44" s="552"/>
      <c r="D44" s="213"/>
      <c r="E44" s="593" t="e">
        <f t="shared" si="0"/>
        <v>#DIV/0!</v>
      </c>
      <c r="F44" s="551" t="e">
        <f t="shared" si="1"/>
        <v>#DIV/0!</v>
      </c>
    </row>
    <row r="45" spans="1:6" x14ac:dyDescent="0.3">
      <c r="A45" s="259"/>
      <c r="B45" s="122"/>
      <c r="C45" s="552"/>
      <c r="D45" s="213"/>
      <c r="E45" s="593" t="e">
        <f t="shared" si="0"/>
        <v>#DIV/0!</v>
      </c>
      <c r="F45" s="551" t="e">
        <f t="shared" si="1"/>
        <v>#DIV/0!</v>
      </c>
    </row>
    <row r="46" spans="1:6" x14ac:dyDescent="0.3">
      <c r="A46" s="259"/>
      <c r="B46" s="122"/>
      <c r="C46" s="552"/>
      <c r="D46" s="213"/>
      <c r="E46" s="593" t="e">
        <f t="shared" si="0"/>
        <v>#DIV/0!</v>
      </c>
      <c r="F46" s="551" t="e">
        <f t="shared" si="1"/>
        <v>#DIV/0!</v>
      </c>
    </row>
    <row r="47" spans="1:6" x14ac:dyDescent="0.3">
      <c r="A47" s="259"/>
      <c r="B47" s="122"/>
      <c r="C47" s="552"/>
      <c r="D47" s="213"/>
      <c r="E47" s="593" t="e">
        <f t="shared" si="0"/>
        <v>#DIV/0!</v>
      </c>
      <c r="F47" s="551" t="e">
        <f t="shared" si="1"/>
        <v>#DIV/0!</v>
      </c>
    </row>
    <row r="48" spans="1:6" x14ac:dyDescent="0.3">
      <c r="A48" s="259"/>
      <c r="B48" s="122"/>
      <c r="C48" s="552"/>
      <c r="D48" s="213"/>
      <c r="E48" s="593" t="e">
        <f t="shared" si="0"/>
        <v>#DIV/0!</v>
      </c>
      <c r="F48" s="551" t="e">
        <f t="shared" si="1"/>
        <v>#DIV/0!</v>
      </c>
    </row>
    <row r="49" spans="1:10" x14ac:dyDescent="0.3">
      <c r="A49" s="259"/>
      <c r="B49" s="122"/>
      <c r="C49" s="552"/>
      <c r="D49" s="213"/>
      <c r="E49" s="593" t="e">
        <f t="shared" si="0"/>
        <v>#DIV/0!</v>
      </c>
      <c r="F49" s="551" t="e">
        <f t="shared" si="1"/>
        <v>#DIV/0!</v>
      </c>
    </row>
    <row r="50" spans="1:10" x14ac:dyDescent="0.3">
      <c r="A50" s="259"/>
      <c r="B50" s="122"/>
      <c r="C50" s="552"/>
      <c r="D50" s="213"/>
      <c r="E50" s="593" t="e">
        <f t="shared" si="0"/>
        <v>#DIV/0!</v>
      </c>
      <c r="F50" s="551" t="e">
        <f t="shared" si="1"/>
        <v>#DIV/0!</v>
      </c>
    </row>
    <row r="51" spans="1:10" x14ac:dyDescent="0.3">
      <c r="A51" s="259"/>
      <c r="B51" s="122"/>
      <c r="C51" s="552"/>
      <c r="D51" s="213"/>
      <c r="E51" s="593" t="e">
        <f t="shared" si="0"/>
        <v>#DIV/0!</v>
      </c>
      <c r="F51" s="551" t="e">
        <f t="shared" si="1"/>
        <v>#DIV/0!</v>
      </c>
    </row>
    <row r="52" spans="1:10" x14ac:dyDescent="0.3">
      <c r="A52" s="259"/>
      <c r="B52" s="122"/>
      <c r="C52" s="552"/>
      <c r="D52" s="213"/>
      <c r="E52" s="593" t="e">
        <f t="shared" si="0"/>
        <v>#DIV/0!</v>
      </c>
      <c r="F52" s="551" t="e">
        <f t="shared" si="1"/>
        <v>#DIV/0!</v>
      </c>
    </row>
    <row r="53" spans="1:10" x14ac:dyDescent="0.3">
      <c r="A53" s="259"/>
      <c r="B53" s="122"/>
      <c r="C53" s="552"/>
      <c r="D53" s="213"/>
      <c r="E53" s="593" t="e">
        <f t="shared" si="0"/>
        <v>#DIV/0!</v>
      </c>
      <c r="F53" s="551" t="e">
        <f t="shared" si="1"/>
        <v>#DIV/0!</v>
      </c>
    </row>
    <row r="54" spans="1:10" x14ac:dyDescent="0.3">
      <c r="A54" s="259"/>
      <c r="B54" s="122"/>
      <c r="C54" s="552"/>
      <c r="D54" s="213"/>
      <c r="E54" s="593" t="e">
        <f t="shared" si="0"/>
        <v>#DIV/0!</v>
      </c>
      <c r="F54" s="551" t="e">
        <f t="shared" si="1"/>
        <v>#DIV/0!</v>
      </c>
    </row>
    <row r="55" spans="1:10" x14ac:dyDescent="0.3">
      <c r="A55" s="259"/>
      <c r="B55" s="122"/>
      <c r="C55" s="552"/>
      <c r="D55" s="213"/>
      <c r="E55" s="593" t="e">
        <f t="shared" si="0"/>
        <v>#DIV/0!</v>
      </c>
      <c r="F55" s="551" t="e">
        <f t="shared" si="1"/>
        <v>#DIV/0!</v>
      </c>
    </row>
    <row r="56" spans="1:10" x14ac:dyDescent="0.3">
      <c r="A56" s="594" t="s">
        <v>117</v>
      </c>
      <c r="B56" s="595"/>
      <c r="C56" s="595"/>
      <c r="D56" s="419">
        <f>+SUM(D9:D55)</f>
        <v>0</v>
      </c>
      <c r="E56" s="419" t="e">
        <f>+SUM(E9:E55)</f>
        <v>#DIV/0!</v>
      </c>
      <c r="F56" s="420" t="e">
        <f>+SUM(F9:F55)</f>
        <v>#DIV/0!</v>
      </c>
      <c r="H56" s="113" t="s">
        <v>6</v>
      </c>
      <c r="I56" s="167" t="e">
        <f>+D56-E56-F56</f>
        <v>#DIV/0!</v>
      </c>
    </row>
    <row r="57" spans="1:10" x14ac:dyDescent="0.3">
      <c r="A57" s="122"/>
      <c r="B57" s="122"/>
      <c r="C57" s="549"/>
      <c r="D57" s="565"/>
      <c r="E57" s="566"/>
      <c r="F57" s="566"/>
      <c r="H57" s="417"/>
    </row>
    <row r="58" spans="1:10" s="553" customFormat="1" x14ac:dyDescent="0.3">
      <c r="A58" s="596" t="s">
        <v>330</v>
      </c>
      <c r="B58" s="597"/>
      <c r="C58" s="598"/>
      <c r="D58" s="294"/>
      <c r="E58" s="294"/>
      <c r="F58" s="599"/>
      <c r="H58" s="554"/>
    </row>
    <row r="59" spans="1:10" s="553" customFormat="1" x14ac:dyDescent="0.3">
      <c r="A59" s="600" t="s">
        <v>28</v>
      </c>
      <c r="B59" s="601"/>
      <c r="C59" s="602" t="s">
        <v>173</v>
      </c>
      <c r="D59" s="213"/>
      <c r="E59" s="569"/>
      <c r="F59" s="570"/>
      <c r="H59" s="554"/>
      <c r="I59" s="555"/>
      <c r="J59" s="555"/>
    </row>
    <row r="60" spans="1:10" s="553" customFormat="1" x14ac:dyDescent="0.3">
      <c r="A60" s="600" t="s">
        <v>179</v>
      </c>
      <c r="B60" s="603"/>
      <c r="C60" s="602" t="s">
        <v>173</v>
      </c>
      <c r="D60" s="213"/>
      <c r="E60" s="571"/>
      <c r="F60" s="572"/>
      <c r="H60" s="554"/>
      <c r="I60" s="555"/>
      <c r="J60" s="555"/>
    </row>
    <row r="61" spans="1:10" s="553" customFormat="1" x14ac:dyDescent="0.3">
      <c r="A61" s="604" t="s">
        <v>309</v>
      </c>
      <c r="B61" s="605"/>
      <c r="C61" s="606"/>
      <c r="D61" s="567">
        <f>+D60+D59</f>
        <v>0</v>
      </c>
      <c r="E61" s="573"/>
      <c r="F61" s="574"/>
      <c r="H61" s="554"/>
    </row>
    <row r="62" spans="1:10" s="553" customFormat="1" x14ac:dyDescent="0.3">
      <c r="A62" s="596" t="s">
        <v>319</v>
      </c>
      <c r="B62" s="597"/>
      <c r="C62" s="422"/>
      <c r="D62" s="269">
        <f>+D61/12.5%</f>
        <v>0</v>
      </c>
      <c r="E62" s="269" t="e">
        <f>+D62*$E$8</f>
        <v>#DIV/0!</v>
      </c>
      <c r="F62" s="269" t="e">
        <f>+D62*$F$8</f>
        <v>#DIV/0!</v>
      </c>
      <c r="H62" s="113" t="s">
        <v>6</v>
      </c>
      <c r="I62" s="167" t="e">
        <f>+D62-E62-F62</f>
        <v>#DIV/0!</v>
      </c>
    </row>
    <row r="63" spans="1:10" x14ac:dyDescent="0.3">
      <c r="A63" s="122"/>
      <c r="B63" s="122"/>
      <c r="C63" s="549"/>
      <c r="D63" s="568"/>
      <c r="E63" s="566"/>
      <c r="F63" s="566"/>
      <c r="H63" s="417"/>
    </row>
    <row r="64" spans="1:10" ht="18" x14ac:dyDescent="0.35">
      <c r="A64" s="607" t="s">
        <v>10</v>
      </c>
      <c r="B64" s="608"/>
      <c r="C64" s="609"/>
      <c r="D64" s="354">
        <f>D62+D56</f>
        <v>0</v>
      </c>
      <c r="E64" s="354" t="e">
        <f>E62+E56</f>
        <v>#DIV/0!</v>
      </c>
      <c r="F64" s="354" t="e">
        <f>F62+F56</f>
        <v>#DIV/0!</v>
      </c>
      <c r="H64" s="113" t="s">
        <v>6</v>
      </c>
      <c r="I64" s="167" t="e">
        <f>+F64+E64-D64</f>
        <v>#DIV/0!</v>
      </c>
    </row>
    <row r="65" spans="4:6" x14ac:dyDescent="0.3">
      <c r="D65" s="418"/>
      <c r="E65" s="418"/>
      <c r="F65" s="418"/>
    </row>
    <row r="66" spans="4:6" x14ac:dyDescent="0.3">
      <c r="D66" s="418"/>
      <c r="E66" s="418"/>
      <c r="F66" s="418"/>
    </row>
    <row r="67" spans="4:6" x14ac:dyDescent="0.3">
      <c r="D67" s="418"/>
      <c r="E67" s="418"/>
      <c r="F67" s="418"/>
    </row>
    <row r="68" spans="4:6" x14ac:dyDescent="0.3">
      <c r="D68" s="418"/>
      <c r="E68" s="418"/>
      <c r="F68" s="418"/>
    </row>
    <row r="69" spans="4:6" x14ac:dyDescent="0.3">
      <c r="D69" s="418"/>
      <c r="E69" s="418"/>
      <c r="F69" s="418"/>
    </row>
    <row r="70" spans="4:6" x14ac:dyDescent="0.3">
      <c r="D70" s="418"/>
      <c r="E70" s="418"/>
      <c r="F70" s="418"/>
    </row>
    <row r="71" spans="4:6" x14ac:dyDescent="0.3">
      <c r="D71" s="418"/>
      <c r="E71" s="418"/>
      <c r="F71" s="418"/>
    </row>
    <row r="72" spans="4:6" x14ac:dyDescent="0.3">
      <c r="D72" s="418"/>
      <c r="E72" s="418"/>
      <c r="F72" s="418"/>
    </row>
    <row r="73" spans="4:6" x14ac:dyDescent="0.3">
      <c r="D73" s="418"/>
      <c r="E73" s="418"/>
      <c r="F73" s="418"/>
    </row>
    <row r="74" spans="4:6" x14ac:dyDescent="0.3">
      <c r="D74" s="418"/>
      <c r="E74" s="418"/>
      <c r="F74" s="418"/>
    </row>
    <row r="75" spans="4:6" x14ac:dyDescent="0.3">
      <c r="D75" s="418"/>
      <c r="E75" s="418"/>
      <c r="F75" s="418"/>
    </row>
    <row r="76" spans="4:6" x14ac:dyDescent="0.3">
      <c r="D76" s="418"/>
      <c r="E76" s="418"/>
      <c r="F76" s="418"/>
    </row>
    <row r="77" spans="4:6" x14ac:dyDescent="0.3">
      <c r="D77" s="418"/>
      <c r="E77" s="418"/>
      <c r="F77" s="418"/>
    </row>
    <row r="78" spans="4:6" x14ac:dyDescent="0.3">
      <c r="D78" s="418"/>
      <c r="E78" s="418"/>
      <c r="F78" s="418"/>
    </row>
    <row r="79" spans="4:6" x14ac:dyDescent="0.3">
      <c r="D79" s="418"/>
      <c r="E79" s="418"/>
      <c r="F79" s="418"/>
    </row>
    <row r="80" spans="4:6" x14ac:dyDescent="0.3">
      <c r="D80" s="418"/>
      <c r="E80" s="418"/>
      <c r="F80" s="418"/>
    </row>
    <row r="81" spans="4:6" x14ac:dyDescent="0.3">
      <c r="D81" s="418"/>
      <c r="E81" s="418"/>
      <c r="F81" s="418"/>
    </row>
    <row r="82" spans="4:6" x14ac:dyDescent="0.3">
      <c r="D82" s="418"/>
      <c r="E82" s="418"/>
      <c r="F82" s="418"/>
    </row>
    <row r="83" spans="4:6" x14ac:dyDescent="0.3">
      <c r="D83" s="418"/>
      <c r="E83" s="418"/>
      <c r="F83" s="418"/>
    </row>
    <row r="84" spans="4:6" x14ac:dyDescent="0.3">
      <c r="D84" s="418"/>
      <c r="E84" s="418"/>
      <c r="F84" s="418"/>
    </row>
    <row r="85" spans="4:6" x14ac:dyDescent="0.3">
      <c r="D85" s="418"/>
      <c r="E85" s="418"/>
      <c r="F85" s="418"/>
    </row>
    <row r="86" spans="4:6" x14ac:dyDescent="0.3">
      <c r="D86" s="418"/>
      <c r="E86" s="418"/>
      <c r="F86" s="418"/>
    </row>
    <row r="87" spans="4:6" x14ac:dyDescent="0.3">
      <c r="D87" s="418"/>
      <c r="E87" s="418"/>
      <c r="F87" s="418"/>
    </row>
  </sheetData>
  <sheetProtection password="A41D" sheet="1" objects="1" scenarios="1"/>
  <mergeCells count="2">
    <mergeCell ref="A7:C7"/>
    <mergeCell ref="A5:F5"/>
  </mergeCells>
  <conditionalFormatting sqref="I56">
    <cfRule type="expression" dxfId="4" priority="6">
      <formula>OR(I56&lt;-0.0009,I56&gt;0.0009)</formula>
    </cfRule>
  </conditionalFormatting>
  <conditionalFormatting sqref="I64">
    <cfRule type="expression" dxfId="3" priority="4">
      <formula>OR(I64&lt;-0.0009,I64&gt;0.0009)</formula>
    </cfRule>
  </conditionalFormatting>
  <conditionalFormatting sqref="I62">
    <cfRule type="expression" dxfId="2" priority="1">
      <formula>OR(I62&lt;-0.0009,I62&gt;0.0009)</formula>
    </cfRule>
  </conditionalFormatting>
  <pageMargins left="0.7" right="0.7" top="0.78740157499999996" bottom="0.78740157499999996" header="0.3" footer="0.3"/>
  <pageSetup paperSize="9" scale="67" orientation="portrait"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3" id="{6F135ACD-3646-45DF-9596-31F2BC76AE0E}">
            <xm:f>+'D Ausstatt.'!$D$8="x"</xm:f>
            <x14:dxf>
              <fill>
                <patternFill>
                  <bgColor rgb="FFFFFF99"/>
                </patternFill>
              </fill>
            </x14:dxf>
          </x14:cfRule>
          <xm:sqref>A9:D55</xm:sqref>
        </x14:conditionalFormatting>
        <x14:conditionalFormatting xmlns:xm="http://schemas.microsoft.com/office/excel/2006/main">
          <x14:cfRule type="expression" priority="2" id="{C0DA1F30-9315-4686-9513-25210DE22998}">
            <xm:f>+'D Ausstatt.'!$D$8="x"</xm:f>
            <x14:dxf>
              <fill>
                <patternFill>
                  <bgColor rgb="FFFFFF99"/>
                </patternFill>
              </fill>
            </x14:dxf>
          </x14:cfRule>
          <xm:sqref>D59:D60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4"/>
  <sheetViews>
    <sheetView zoomScaleNormal="100" workbookViewId="0">
      <selection activeCell="H3" sqref="H3"/>
    </sheetView>
  </sheetViews>
  <sheetFormatPr baseColWidth="10" defaultColWidth="11.44140625" defaultRowHeight="14.4" x14ac:dyDescent="0.3"/>
  <cols>
    <col min="1" max="1" width="22.6640625" style="64" customWidth="1"/>
    <col min="2" max="2" width="19.6640625" style="537" customWidth="1"/>
    <col min="3" max="4" width="11.44140625" style="64"/>
    <col min="5" max="5" width="15.44140625" style="64" customWidth="1"/>
    <col min="6" max="16384" width="11.44140625" style="64"/>
  </cols>
  <sheetData>
    <row r="1" spans="1:5" ht="25.8" x14ac:dyDescent="0.5">
      <c r="A1" s="622" t="s">
        <v>329</v>
      </c>
      <c r="B1" s="654"/>
      <c r="C1" s="654"/>
      <c r="D1" s="654"/>
      <c r="E1" s="655"/>
    </row>
    <row r="2" spans="1:5" ht="25.8" x14ac:dyDescent="0.5">
      <c r="A2" s="656" t="s">
        <v>351</v>
      </c>
      <c r="B2" s="657"/>
      <c r="C2" s="657"/>
      <c r="D2" s="658"/>
      <c r="E2" s="772"/>
    </row>
    <row r="3" spans="1:5" x14ac:dyDescent="0.3">
      <c r="A3" s="393">
        <f>+Stammdaten!B5</f>
        <v>0</v>
      </c>
      <c r="B3" s="307">
        <f>+Stammdaten!B3</f>
        <v>0</v>
      </c>
      <c r="C3" s="546"/>
      <c r="D3" s="625" t="s">
        <v>41</v>
      </c>
      <c r="E3" s="626"/>
    </row>
    <row r="4" spans="1:5" x14ac:dyDescent="0.3">
      <c r="A4" s="71"/>
      <c r="B4" s="341"/>
      <c r="C4" s="66"/>
      <c r="D4" s="66"/>
      <c r="E4" s="67"/>
    </row>
    <row r="5" spans="1:5" ht="28.8" x14ac:dyDescent="0.3">
      <c r="A5" s="770" t="s">
        <v>350</v>
      </c>
      <c r="B5" s="977" t="s">
        <v>164</v>
      </c>
      <c r="C5" s="771"/>
      <c r="D5" s="66"/>
      <c r="E5" s="67"/>
    </row>
    <row r="6" spans="1:5" x14ac:dyDescent="0.3">
      <c r="A6" s="767">
        <v>2017</v>
      </c>
      <c r="B6" s="768"/>
      <c r="C6" s="543">
        <v>284.63</v>
      </c>
      <c r="D6" s="66"/>
      <c r="E6" s="67"/>
    </row>
    <row r="7" spans="1:5" x14ac:dyDescent="0.3">
      <c r="A7" s="767">
        <v>2018</v>
      </c>
      <c r="B7" s="769">
        <v>1.9E-2</v>
      </c>
      <c r="C7" s="544">
        <f t="shared" ref="C7:C8" si="0">+C6*(1+B7)</f>
        <v>290.03796999999997</v>
      </c>
      <c r="D7" s="66"/>
      <c r="E7" s="67"/>
    </row>
    <row r="8" spans="1:5" x14ac:dyDescent="0.3">
      <c r="A8" s="767">
        <v>2019</v>
      </c>
      <c r="B8" s="769">
        <v>1.4E-2</v>
      </c>
      <c r="C8" s="544">
        <f t="shared" si="0"/>
        <v>294.09850158</v>
      </c>
      <c r="D8" s="66"/>
      <c r="E8" s="67"/>
    </row>
    <row r="9" spans="1:5" x14ac:dyDescent="0.3">
      <c r="A9" s="767">
        <v>2020</v>
      </c>
      <c r="B9" s="769">
        <v>5.0000000000000001E-3</v>
      </c>
      <c r="C9" s="544">
        <f>+C8*(1+B9)</f>
        <v>295.56899408789997</v>
      </c>
      <c r="D9" s="66"/>
      <c r="E9" s="67"/>
    </row>
    <row r="10" spans="1:5" x14ac:dyDescent="0.3">
      <c r="A10" s="767">
        <v>2021</v>
      </c>
      <c r="B10" s="769">
        <v>3.1E-2</v>
      </c>
      <c r="C10" s="544">
        <f t="shared" ref="C10:C13" si="1">+C9*(1+B10)</f>
        <v>304.73163290462486</v>
      </c>
      <c r="D10" s="66"/>
      <c r="E10" s="67"/>
    </row>
    <row r="11" spans="1:5" x14ac:dyDescent="0.3">
      <c r="A11" s="767">
        <v>2022</v>
      </c>
      <c r="B11" s="538"/>
      <c r="C11" s="544">
        <f t="shared" si="1"/>
        <v>304.73163290462486</v>
      </c>
      <c r="D11" s="66"/>
      <c r="E11" s="67"/>
    </row>
    <row r="12" spans="1:5" x14ac:dyDescent="0.3">
      <c r="A12" s="767">
        <v>2023</v>
      </c>
      <c r="B12" s="538"/>
      <c r="C12" s="544">
        <f t="shared" si="1"/>
        <v>304.73163290462486</v>
      </c>
      <c r="D12" s="66"/>
      <c r="E12" s="67"/>
    </row>
    <row r="13" spans="1:5" ht="15" thickBot="1" x14ac:dyDescent="0.35">
      <c r="A13" s="767">
        <v>2024</v>
      </c>
      <c r="B13" s="538"/>
      <c r="C13" s="544">
        <f t="shared" si="1"/>
        <v>304.73163290462486</v>
      </c>
      <c r="D13" s="66"/>
      <c r="E13" s="67"/>
    </row>
    <row r="14" spans="1:5" ht="15" thickBot="1" x14ac:dyDescent="0.35">
      <c r="A14" s="71"/>
      <c r="B14" s="341"/>
      <c r="C14" s="545">
        <f>+C13</f>
        <v>304.73163290462486</v>
      </c>
      <c r="D14" s="471" t="s">
        <v>161</v>
      </c>
      <c r="E14" s="67"/>
    </row>
    <row r="15" spans="1:5" x14ac:dyDescent="0.3">
      <c r="A15" s="71"/>
      <c r="B15" s="341"/>
      <c r="C15" s="66"/>
      <c r="D15" s="66"/>
      <c r="E15" s="67"/>
    </row>
    <row r="16" spans="1:5" x14ac:dyDescent="0.3">
      <c r="A16" s="71"/>
      <c r="B16" s="341"/>
      <c r="C16" s="66"/>
      <c r="D16" s="66"/>
      <c r="E16" s="67"/>
    </row>
    <row r="17" spans="1:5" x14ac:dyDescent="0.3">
      <c r="A17" s="71"/>
      <c r="B17" s="341"/>
      <c r="C17" s="66"/>
      <c r="D17" s="66"/>
      <c r="E17" s="67"/>
    </row>
    <row r="18" spans="1:5" x14ac:dyDescent="0.3">
      <c r="A18" s="71"/>
      <c r="B18" s="341"/>
      <c r="C18" s="66"/>
      <c r="D18" s="66"/>
      <c r="E18" s="67"/>
    </row>
    <row r="19" spans="1:5" x14ac:dyDescent="0.3">
      <c r="A19" s="71"/>
      <c r="B19" s="341"/>
      <c r="C19" s="66"/>
      <c r="D19" s="66"/>
      <c r="E19" s="67"/>
    </row>
    <row r="20" spans="1:5" x14ac:dyDescent="0.3">
      <c r="A20" s="71"/>
      <c r="B20" s="341"/>
      <c r="C20" s="66"/>
      <c r="D20" s="66"/>
      <c r="E20" s="67"/>
    </row>
    <row r="21" spans="1:5" x14ac:dyDescent="0.3">
      <c r="A21" s="71"/>
      <c r="B21" s="341"/>
      <c r="C21" s="66"/>
      <c r="D21" s="66"/>
      <c r="E21" s="67"/>
    </row>
    <row r="22" spans="1:5" x14ac:dyDescent="0.3">
      <c r="A22" s="71"/>
      <c r="B22" s="341"/>
      <c r="C22" s="66"/>
      <c r="D22" s="66"/>
      <c r="E22" s="67"/>
    </row>
    <row r="23" spans="1:5" x14ac:dyDescent="0.3">
      <c r="A23" s="71"/>
      <c r="B23" s="341"/>
      <c r="C23" s="66"/>
      <c r="D23" s="66"/>
      <c r="E23" s="67"/>
    </row>
    <row r="24" spans="1:5" x14ac:dyDescent="0.3">
      <c r="A24" s="71"/>
      <c r="B24" s="341"/>
      <c r="C24" s="66"/>
      <c r="D24" s="66"/>
      <c r="E24" s="67"/>
    </row>
    <row r="25" spans="1:5" x14ac:dyDescent="0.3">
      <c r="A25" s="71"/>
      <c r="B25" s="341"/>
      <c r="C25" s="66"/>
      <c r="D25" s="66"/>
      <c r="E25" s="67"/>
    </row>
    <row r="26" spans="1:5" x14ac:dyDescent="0.3">
      <c r="A26" s="71"/>
      <c r="B26" s="341"/>
      <c r="C26" s="66"/>
      <c r="D26" s="66"/>
      <c r="E26" s="67"/>
    </row>
    <row r="27" spans="1:5" x14ac:dyDescent="0.3">
      <c r="A27" s="71"/>
      <c r="B27" s="341"/>
      <c r="C27" s="66"/>
      <c r="D27" s="66"/>
      <c r="E27" s="67"/>
    </row>
    <row r="28" spans="1:5" x14ac:dyDescent="0.3">
      <c r="A28" s="71"/>
      <c r="B28" s="341"/>
      <c r="C28" s="66"/>
      <c r="D28" s="66"/>
      <c r="E28" s="67"/>
    </row>
    <row r="29" spans="1:5" x14ac:dyDescent="0.3">
      <c r="A29" s="71"/>
      <c r="B29" s="341"/>
      <c r="C29" s="66"/>
      <c r="D29" s="66"/>
      <c r="E29" s="67"/>
    </row>
    <row r="30" spans="1:5" x14ac:dyDescent="0.3">
      <c r="A30" s="71"/>
      <c r="B30" s="341"/>
      <c r="C30" s="66"/>
      <c r="D30" s="66"/>
      <c r="E30" s="67"/>
    </row>
    <row r="31" spans="1:5" x14ac:dyDescent="0.3">
      <c r="A31" s="71"/>
      <c r="B31" s="341"/>
      <c r="C31" s="66"/>
      <c r="D31" s="66"/>
      <c r="E31" s="67"/>
    </row>
    <row r="32" spans="1:5" x14ac:dyDescent="0.3">
      <c r="A32" s="71"/>
      <c r="B32" s="341"/>
      <c r="C32" s="66"/>
      <c r="D32" s="66"/>
      <c r="E32" s="67"/>
    </row>
    <row r="33" spans="1:5" x14ac:dyDescent="0.3">
      <c r="A33" s="71"/>
      <c r="B33" s="341"/>
      <c r="C33" s="66"/>
      <c r="D33" s="66"/>
      <c r="E33" s="67"/>
    </row>
    <row r="34" spans="1:5" x14ac:dyDescent="0.3">
      <c r="A34" s="539"/>
      <c r="B34" s="540"/>
      <c r="C34" s="541"/>
      <c r="D34" s="541"/>
      <c r="E34" s="542"/>
    </row>
  </sheetData>
  <sheetProtection algorithmName="SHA-512" hashValue="p12tN62lhSt5EggUggo68JVY50O8nKtUz3+/kwHuwFUMBVjGBDhpOjax2mq1qzPC97zHvb3sufMnf5lwRV5pzQ==" saltValue="pgstXD2UQPsajGUZM5IixQ==" spinCount="100000" sheet="1" objects="1" scenarios="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A1:J51"/>
  <sheetViews>
    <sheetView zoomScaleNormal="100" workbookViewId="0">
      <selection activeCell="A5" sqref="A5"/>
    </sheetView>
  </sheetViews>
  <sheetFormatPr baseColWidth="10" defaultColWidth="11.44140625" defaultRowHeight="14.4" x14ac:dyDescent="0.3"/>
  <cols>
    <col min="1" max="1" width="42.5546875" style="64" customWidth="1"/>
    <col min="2" max="2" width="22" style="64" customWidth="1"/>
    <col min="3" max="3" width="20.88671875" style="64" customWidth="1"/>
    <col min="4" max="4" width="16.44140625" style="64" customWidth="1"/>
    <col min="5" max="5" width="2.44140625" style="64" customWidth="1"/>
    <col min="6" max="6" width="11.44140625" style="64"/>
    <col min="7" max="7" width="10.33203125" style="77" customWidth="1"/>
    <col min="8" max="8" width="11.44140625" style="64"/>
    <col min="9" max="9" width="15.44140625" style="64" customWidth="1"/>
    <col min="10" max="16384" width="11.44140625" style="64"/>
  </cols>
  <sheetData>
    <row r="1" spans="1:10" ht="25.8" x14ac:dyDescent="0.5">
      <c r="A1" s="614" t="s">
        <v>329</v>
      </c>
      <c r="B1" s="1"/>
      <c r="C1" s="1"/>
      <c r="D1" s="1"/>
      <c r="E1" s="1"/>
      <c r="F1" s="76"/>
    </row>
    <row r="2" spans="1:10" ht="25.8" x14ac:dyDescent="0.5">
      <c r="A2" s="616" t="s">
        <v>193</v>
      </c>
      <c r="B2" s="3"/>
      <c r="C2" s="3"/>
      <c r="D2" s="3"/>
      <c r="E2" s="3"/>
      <c r="F2" s="76"/>
    </row>
    <row r="3" spans="1:10" ht="18.600000000000001" thickBot="1" x14ac:dyDescent="0.4">
      <c r="A3" s="618">
        <f>+Stammdaten!A3</f>
        <v>0</v>
      </c>
      <c r="B3" s="619">
        <f>+Stammdaten!B3</f>
        <v>0</v>
      </c>
      <c r="C3" s="1"/>
      <c r="D3" s="1"/>
      <c r="E3" s="1"/>
    </row>
    <row r="4" spans="1:10" ht="60.75" customHeight="1" thickBot="1" x14ac:dyDescent="0.35">
      <c r="A4" s="978" t="s">
        <v>275</v>
      </c>
      <c r="B4" s="979"/>
      <c r="C4" s="979"/>
      <c r="D4" s="979"/>
      <c r="E4" s="979"/>
    </row>
    <row r="5" spans="1:10" ht="17.25" customHeight="1" x14ac:dyDescent="0.5">
      <c r="A5" s="616"/>
      <c r="B5" s="3"/>
      <c r="C5" s="3"/>
      <c r="D5" s="3"/>
      <c r="E5" s="3"/>
      <c r="J5" s="81"/>
    </row>
    <row r="6" spans="1:10" ht="38.25" customHeight="1" x14ac:dyDescent="0.35">
      <c r="A6" s="92"/>
      <c r="B6" s="18" t="s">
        <v>194</v>
      </c>
      <c r="C6" s="18" t="s">
        <v>195</v>
      </c>
      <c r="D6" s="93" t="s">
        <v>10</v>
      </c>
      <c r="E6" s="959"/>
      <c r="F6" s="441"/>
    </row>
    <row r="7" spans="1:10" ht="18" x14ac:dyDescent="0.35">
      <c r="A7" s="94"/>
      <c r="B7" s="95"/>
      <c r="C7" s="95"/>
      <c r="D7" s="96"/>
      <c r="E7" s="752"/>
      <c r="F7" s="441"/>
    </row>
    <row r="8" spans="1:10" ht="18" x14ac:dyDescent="0.35">
      <c r="A8" s="94" t="s">
        <v>160</v>
      </c>
      <c r="B8" s="95"/>
      <c r="C8" s="95"/>
      <c r="D8" s="97">
        <f>+Stammdaten!B7</f>
        <v>0</v>
      </c>
      <c r="E8" s="960"/>
      <c r="F8" s="441"/>
    </row>
    <row r="9" spans="1:10" ht="18" x14ac:dyDescent="0.35">
      <c r="A9" s="94"/>
      <c r="B9" s="95"/>
      <c r="C9" s="95"/>
      <c r="D9" s="96"/>
      <c r="E9" s="752"/>
      <c r="F9" s="441"/>
    </row>
    <row r="10" spans="1:10" ht="18" x14ac:dyDescent="0.35">
      <c r="A10" s="14" t="s">
        <v>196</v>
      </c>
      <c r="B10" s="98"/>
      <c r="C10" s="95"/>
      <c r="D10" s="99"/>
      <c r="E10" s="752"/>
      <c r="F10" s="441"/>
      <c r="G10" s="82"/>
      <c r="H10" s="83"/>
    </row>
    <row r="11" spans="1:10" ht="18" x14ac:dyDescent="0.35">
      <c r="A11" s="20" t="s">
        <v>197</v>
      </c>
      <c r="B11" s="100" t="e">
        <f>'A Flächen'!D154/'Erg.-Übersicht'!D8</f>
        <v>#DIV/0!</v>
      </c>
      <c r="C11" s="101" t="e">
        <f>'A Flächen'!D155/'Erg.-Übersicht'!D8</f>
        <v>#DIV/0!</v>
      </c>
      <c r="D11" s="102" t="e">
        <f>C11+B11</f>
        <v>#DIV/0!</v>
      </c>
      <c r="E11" s="961"/>
      <c r="F11" s="441"/>
      <c r="G11" s="112" t="e">
        <f>ROUNDDOWN(D11*D8-'A Flächen'!D154-'A Flächen'!D155,2)</f>
        <v>#DIV/0!</v>
      </c>
      <c r="H11" s="113" t="s">
        <v>6</v>
      </c>
    </row>
    <row r="12" spans="1:10" ht="18" x14ac:dyDescent="0.35">
      <c r="A12" s="20" t="s">
        <v>198</v>
      </c>
      <c r="B12" s="100" t="e">
        <f>'A Flächen'!D174/'Erg.-Übersicht'!D8</f>
        <v>#DIV/0!</v>
      </c>
      <c r="C12" s="101" t="e">
        <f>'A Flächen'!D175/'Erg.-Übersicht'!D8</f>
        <v>#DIV/0!</v>
      </c>
      <c r="D12" s="102" t="e">
        <f>C12+B12</f>
        <v>#DIV/0!</v>
      </c>
      <c r="E12" s="961"/>
      <c r="F12" s="441"/>
      <c r="G12" s="112" t="e">
        <f>ROUNDDOWN(D12*D8-'A Flächen'!D176,2)</f>
        <v>#DIV/0!</v>
      </c>
      <c r="H12" s="113" t="s">
        <v>6</v>
      </c>
    </row>
    <row r="13" spans="1:10" ht="18" x14ac:dyDescent="0.35">
      <c r="A13" s="94"/>
      <c r="B13" s="95"/>
      <c r="C13" s="95"/>
      <c r="D13" s="96"/>
      <c r="E13" s="752"/>
      <c r="F13" s="441"/>
      <c r="G13" s="114"/>
      <c r="H13" s="113"/>
    </row>
    <row r="14" spans="1:10" ht="18" x14ac:dyDescent="0.35">
      <c r="A14" s="20" t="s">
        <v>199</v>
      </c>
      <c r="B14" s="22" t="e">
        <f>+'E Mietber.'!H8</f>
        <v>#DIV/0!</v>
      </c>
      <c r="C14" s="22" t="e">
        <f>+'E Mietber.'!I8</f>
        <v>#DIV/0!</v>
      </c>
      <c r="D14" s="103" t="e">
        <f t="shared" ref="D14:D19" si="0">+C14+B14</f>
        <v>#DIV/0!</v>
      </c>
      <c r="E14" s="962"/>
      <c r="F14" s="441"/>
      <c r="G14" s="112" t="e">
        <f>+D14-'E Mietber.'!G8</f>
        <v>#DIV/0!</v>
      </c>
      <c r="H14" s="113" t="s">
        <v>6</v>
      </c>
    </row>
    <row r="15" spans="1:10" ht="18" x14ac:dyDescent="0.35">
      <c r="A15" s="20" t="s">
        <v>68</v>
      </c>
      <c r="B15" s="24" t="e">
        <f>+'E Mietber.'!H10</f>
        <v>#DIV/0!</v>
      </c>
      <c r="C15" s="22" t="e">
        <f>+'E Mietber.'!I10</f>
        <v>#DIV/0!</v>
      </c>
      <c r="D15" s="103" t="e">
        <f t="shared" si="0"/>
        <v>#DIV/0!</v>
      </c>
      <c r="E15" s="962"/>
      <c r="F15" s="441"/>
      <c r="G15" s="112" t="e">
        <f>+D15-'E Mietber.'!G10</f>
        <v>#DIV/0!</v>
      </c>
      <c r="H15" s="113" t="s">
        <v>6</v>
      </c>
    </row>
    <row r="16" spans="1:10" ht="18" x14ac:dyDescent="0.35">
      <c r="A16" s="20" t="s">
        <v>122</v>
      </c>
      <c r="B16" s="22" t="e">
        <f>+'E Mietber.'!H9</f>
        <v>#DIV/0!</v>
      </c>
      <c r="C16" s="22" t="e">
        <f>+'E Mietber.'!I9</f>
        <v>#DIV/0!</v>
      </c>
      <c r="D16" s="103" t="e">
        <f t="shared" si="0"/>
        <v>#DIV/0!</v>
      </c>
      <c r="E16" s="962"/>
      <c r="F16" s="441"/>
      <c r="G16" s="112" t="e">
        <f>+D16-'E Mietber.'!G9</f>
        <v>#DIV/0!</v>
      </c>
      <c r="H16" s="113" t="s">
        <v>6</v>
      </c>
    </row>
    <row r="17" spans="1:8" ht="18" x14ac:dyDescent="0.35">
      <c r="A17" s="20" t="s">
        <v>265</v>
      </c>
      <c r="B17" s="22">
        <f>+'E Mietber.'!H12</f>
        <v>0</v>
      </c>
      <c r="C17" s="22" t="e">
        <f>+'E Mietber.'!I12</f>
        <v>#DIV/0!</v>
      </c>
      <c r="D17" s="103" t="e">
        <f t="shared" si="0"/>
        <v>#DIV/0!</v>
      </c>
      <c r="E17" s="962"/>
      <c r="F17" s="441"/>
      <c r="G17" s="112" t="e">
        <f>+D17-'E Mietber.'!G12</f>
        <v>#DIV/0!</v>
      </c>
      <c r="H17" s="113" t="s">
        <v>6</v>
      </c>
    </row>
    <row r="18" spans="1:8" ht="18" x14ac:dyDescent="0.35">
      <c r="A18" s="20" t="s">
        <v>246</v>
      </c>
      <c r="B18" s="22">
        <f>+'E Mietber.'!H13</f>
        <v>0</v>
      </c>
      <c r="C18" s="22">
        <f>+'E Mietber.'!I13</f>
        <v>0</v>
      </c>
      <c r="D18" s="103">
        <f t="shared" si="0"/>
        <v>0</v>
      </c>
      <c r="E18" s="962"/>
      <c r="F18" s="441"/>
      <c r="G18" s="112">
        <f>+D18-'E Mietber.'!G13</f>
        <v>0</v>
      </c>
      <c r="H18" s="113" t="s">
        <v>6</v>
      </c>
    </row>
    <row r="19" spans="1:8" ht="18.600000000000001" thickBot="1" x14ac:dyDescent="0.4">
      <c r="A19" s="25" t="s">
        <v>247</v>
      </c>
      <c r="B19" s="27">
        <f>+'E Mietber.'!H14</f>
        <v>0</v>
      </c>
      <c r="C19" s="27">
        <f>+'E Mietber.'!I14</f>
        <v>0</v>
      </c>
      <c r="D19" s="103">
        <f t="shared" si="0"/>
        <v>0</v>
      </c>
      <c r="E19" s="962"/>
      <c r="F19" s="441"/>
      <c r="G19" s="112">
        <f>+D19-'E Mietber.'!G14</f>
        <v>0</v>
      </c>
      <c r="H19" s="113" t="s">
        <v>6</v>
      </c>
    </row>
    <row r="20" spans="1:8" ht="18.600000000000001" thickTop="1" x14ac:dyDescent="0.35">
      <c r="A20" s="28" t="s">
        <v>200</v>
      </c>
      <c r="B20" s="30" t="e">
        <f>SUM(B14:B19)</f>
        <v>#DIV/0!</v>
      </c>
      <c r="C20" s="30" t="e">
        <f>+SUM(C14:C19)</f>
        <v>#DIV/0!</v>
      </c>
      <c r="D20" s="104" t="e">
        <f>+SUM(D14:D19)</f>
        <v>#DIV/0!</v>
      </c>
      <c r="E20" s="963"/>
      <c r="F20" s="441"/>
      <c r="G20" s="112" t="e">
        <f>+D20-'E Mietber.'!G15</f>
        <v>#DIV/0!</v>
      </c>
      <c r="H20" s="113" t="s">
        <v>6</v>
      </c>
    </row>
    <row r="21" spans="1:8" ht="43.2" x14ac:dyDescent="0.3">
      <c r="A21" s="31"/>
      <c r="B21" s="105" t="s">
        <v>201</v>
      </c>
      <c r="C21" s="105" t="s">
        <v>262</v>
      </c>
      <c r="D21" s="32"/>
      <c r="E21" s="32"/>
      <c r="F21" s="441"/>
      <c r="G21" s="82"/>
      <c r="H21" s="83"/>
    </row>
    <row r="22" spans="1:8" ht="15" thickBot="1" x14ac:dyDescent="0.35">
      <c r="A22" s="31"/>
      <c r="B22" s="32"/>
      <c r="C22" s="32"/>
      <c r="D22" s="32"/>
      <c r="E22" s="32"/>
      <c r="F22" s="441"/>
      <c r="G22" s="82"/>
      <c r="H22" s="83"/>
    </row>
    <row r="23" spans="1:8" ht="18.600000000000001" thickTop="1" x14ac:dyDescent="0.35">
      <c r="A23" s="34" t="s">
        <v>202</v>
      </c>
      <c r="B23" s="989" t="e">
        <f>+'E Mietber.'!H32</f>
        <v>#DIV/0!</v>
      </c>
      <c r="C23" s="991"/>
      <c r="D23" s="993" t="e">
        <f>+SUM(B23:C24)</f>
        <v>#DIV/0!</v>
      </c>
      <c r="E23" s="958"/>
      <c r="F23" s="441"/>
      <c r="G23" s="82"/>
      <c r="H23" s="83"/>
    </row>
    <row r="24" spans="1:8" ht="15" thickBot="1" x14ac:dyDescent="0.35">
      <c r="A24" s="610" t="s">
        <v>203</v>
      </c>
      <c r="B24" s="990"/>
      <c r="C24" s="992"/>
      <c r="D24" s="994"/>
      <c r="E24" s="964"/>
      <c r="F24" s="441"/>
      <c r="G24" s="82"/>
      <c r="H24" s="83"/>
    </row>
    <row r="25" spans="1:8" ht="15" thickTop="1" x14ac:dyDescent="0.3">
      <c r="A25" s="106" t="e">
        <f>+IF('E Mietber.'!H24&lt;0,"Achtung! Da KdU&lt;100% ggfs Regelsatz-Absenkung für Nebenkosten wegen anderweitiger Bedarfsdeckung","")</f>
        <v>#DIV/0!</v>
      </c>
      <c r="B25" s="107"/>
      <c r="C25" s="107"/>
      <c r="D25" s="107"/>
      <c r="E25" s="3"/>
      <c r="F25" s="976"/>
      <c r="G25" s="82"/>
      <c r="H25" s="83"/>
    </row>
    <row r="26" spans="1:8" ht="18" x14ac:dyDescent="0.35">
      <c r="A26" s="38" t="s">
        <v>204</v>
      </c>
      <c r="B26" s="995" t="e">
        <f>+'E Mietber.'!H39</f>
        <v>#DIV/0!</v>
      </c>
      <c r="C26" s="997"/>
      <c r="D26" s="999" t="e">
        <f>+SUM(B26:C27)</f>
        <v>#DIV/0!</v>
      </c>
      <c r="E26" s="958"/>
      <c r="F26" s="441"/>
      <c r="G26" s="85"/>
      <c r="H26" s="83"/>
    </row>
    <row r="27" spans="1:8" ht="17.399999999999999" customHeight="1" x14ac:dyDescent="0.3">
      <c r="A27" s="968" t="s">
        <v>257</v>
      </c>
      <c r="B27" s="996"/>
      <c r="C27" s="998"/>
      <c r="D27" s="998"/>
      <c r="E27" s="964"/>
      <c r="F27" s="441"/>
      <c r="G27" s="82"/>
      <c r="H27" s="83"/>
    </row>
    <row r="28" spans="1:8" ht="17.399999999999999" customHeight="1" x14ac:dyDescent="0.3">
      <c r="A28" s="968"/>
      <c r="B28" s="972" t="s">
        <v>348</v>
      </c>
      <c r="C28" s="969"/>
      <c r="D28" s="974" t="s">
        <v>348</v>
      </c>
      <c r="E28" s="964"/>
      <c r="F28" s="441"/>
      <c r="G28" s="82"/>
      <c r="H28" s="83"/>
    </row>
    <row r="29" spans="1:8" ht="17.399999999999999" customHeight="1" x14ac:dyDescent="0.3">
      <c r="A29" s="968"/>
      <c r="B29" s="973" t="e">
        <f>+B26/30.42</f>
        <v>#DIV/0!</v>
      </c>
      <c r="C29" s="967"/>
      <c r="D29" s="975" t="e">
        <f>+D26/30.42</f>
        <v>#DIV/0!</v>
      </c>
      <c r="E29" s="964"/>
      <c r="F29" s="441"/>
      <c r="G29" s="82"/>
      <c r="H29" s="83"/>
    </row>
    <row r="30" spans="1:8" ht="18" x14ac:dyDescent="0.35">
      <c r="A30" s="38" t="s">
        <v>205</v>
      </c>
      <c r="B30" s="980"/>
      <c r="C30" s="982" t="e">
        <f>+'E Mietber.'!I46</f>
        <v>#DIV/0!</v>
      </c>
      <c r="D30" s="984" t="e">
        <f>+SUM(B30:C31)</f>
        <v>#DIV/0!</v>
      </c>
      <c r="E30" s="958"/>
      <c r="F30" s="441"/>
      <c r="G30" s="82"/>
      <c r="H30" s="83"/>
    </row>
    <row r="31" spans="1:8" ht="18" x14ac:dyDescent="0.35">
      <c r="A31" s="42" t="s">
        <v>206</v>
      </c>
      <c r="B31" s="981"/>
      <c r="C31" s="983"/>
      <c r="D31" s="981"/>
      <c r="E31" s="964"/>
      <c r="F31" s="441"/>
      <c r="G31" s="82"/>
      <c r="H31" s="83"/>
    </row>
    <row r="32" spans="1:8" ht="18" x14ac:dyDescent="0.35">
      <c r="A32" s="42"/>
      <c r="B32" s="974"/>
      <c r="C32" s="972" t="s">
        <v>348</v>
      </c>
      <c r="D32" s="974" t="s">
        <v>348</v>
      </c>
      <c r="E32" s="964"/>
      <c r="F32" s="441"/>
      <c r="G32" s="82"/>
      <c r="H32" s="83"/>
    </row>
    <row r="33" spans="1:8" ht="18.600000000000001" thickBot="1" x14ac:dyDescent="0.4">
      <c r="A33" s="42"/>
      <c r="B33" s="975"/>
      <c r="C33" s="973" t="e">
        <f>+C30/30.42</f>
        <v>#DIV/0!</v>
      </c>
      <c r="D33" s="975" t="e">
        <f>+D30/30.42</f>
        <v>#DIV/0!</v>
      </c>
      <c r="E33" s="964"/>
      <c r="F33" s="441"/>
      <c r="G33" s="82"/>
      <c r="H33" s="83"/>
    </row>
    <row r="34" spans="1:8" ht="18.600000000000001" thickTop="1" x14ac:dyDescent="0.35">
      <c r="A34" s="34" t="s">
        <v>207</v>
      </c>
      <c r="B34" s="985"/>
      <c r="C34" s="985"/>
      <c r="D34" s="987" t="e">
        <f>+D26+D30</f>
        <v>#DIV/0!</v>
      </c>
      <c r="E34" s="965"/>
      <c r="F34" s="441"/>
      <c r="G34" s="82"/>
      <c r="H34" s="83"/>
    </row>
    <row r="35" spans="1:8" ht="18.600000000000001" thickBot="1" x14ac:dyDescent="0.4">
      <c r="A35" s="44" t="s">
        <v>208</v>
      </c>
      <c r="B35" s="986"/>
      <c r="C35" s="986"/>
      <c r="D35" s="988"/>
      <c r="E35" s="966"/>
      <c r="F35" s="441"/>
      <c r="G35" s="112" t="e">
        <f>+'E Mietber.'!G15-'Erg.-Übersicht'!D23-'Erg.-Übersicht'!D34</f>
        <v>#DIV/0!</v>
      </c>
      <c r="H35" s="113" t="s">
        <v>6</v>
      </c>
    </row>
    <row r="36" spans="1:8" ht="15" thickTop="1" x14ac:dyDescent="0.3">
      <c r="A36" s="31"/>
      <c r="B36" s="3"/>
      <c r="C36" s="3"/>
      <c r="D36" s="3"/>
      <c r="E36" s="3"/>
      <c r="G36" s="82"/>
      <c r="H36" s="83"/>
    </row>
    <row r="37" spans="1:8" x14ac:dyDescent="0.3">
      <c r="A37" s="31"/>
      <c r="B37" s="3"/>
      <c r="C37" s="3"/>
      <c r="D37" s="3"/>
      <c r="E37" s="3"/>
      <c r="G37" s="82"/>
      <c r="H37" s="83"/>
    </row>
    <row r="38" spans="1:8" ht="18" x14ac:dyDescent="0.35">
      <c r="A38" s="51" t="s">
        <v>299</v>
      </c>
      <c r="B38" s="3"/>
      <c r="C38" s="3"/>
      <c r="D38" s="3"/>
      <c r="E38" s="3"/>
      <c r="G38" s="82"/>
      <c r="H38" s="83"/>
    </row>
    <row r="39" spans="1:8" ht="18" x14ac:dyDescent="0.35">
      <c r="A39" s="51" t="s">
        <v>209</v>
      </c>
      <c r="B39" s="53"/>
      <c r="C39" s="3"/>
      <c r="D39" s="3"/>
      <c r="E39" s="3"/>
      <c r="F39" s="76"/>
      <c r="G39" s="82"/>
      <c r="H39" s="83"/>
    </row>
    <row r="40" spans="1:8" ht="28.8" x14ac:dyDescent="0.3">
      <c r="A40" s="108" t="s">
        <v>210</v>
      </c>
      <c r="B40" s="54" t="e">
        <f>+B15</f>
        <v>#DIV/0!</v>
      </c>
      <c r="C40" s="3"/>
      <c r="D40" s="3"/>
      <c r="E40" s="3"/>
      <c r="G40" s="82"/>
      <c r="H40" s="83"/>
    </row>
    <row r="41" spans="1:8" x14ac:dyDescent="0.3">
      <c r="A41" s="109" t="s">
        <v>211</v>
      </c>
      <c r="B41" s="54" t="e">
        <f>'C_1 Nebenk.'!E30*'A Flächen'!F184</f>
        <v>#DIV/0!</v>
      </c>
      <c r="C41" s="3"/>
      <c r="D41" s="3"/>
      <c r="E41" s="3"/>
      <c r="G41" s="82"/>
      <c r="H41" s="83"/>
    </row>
    <row r="42" spans="1:8" ht="45.75" customHeight="1" x14ac:dyDescent="0.3">
      <c r="A42" s="108" t="s">
        <v>301</v>
      </c>
      <c r="B42" s="54" t="e">
        <f>'B_1 Geb. Kaltmiete'!D109*'A Flächen'!E184*365/12</f>
        <v>#DIV/0!</v>
      </c>
      <c r="C42" s="3"/>
      <c r="D42" s="3"/>
      <c r="E42" s="3"/>
      <c r="G42" s="82"/>
      <c r="H42" s="83"/>
    </row>
    <row r="43" spans="1:8" ht="28.8" x14ac:dyDescent="0.3">
      <c r="A43" s="108" t="s">
        <v>212</v>
      </c>
      <c r="B43" s="54" t="e">
        <f>+'C_1 Nebenk.'!E27</f>
        <v>#DIV/0!</v>
      </c>
      <c r="C43" s="3"/>
      <c r="D43" s="3"/>
      <c r="E43" s="3"/>
      <c r="G43" s="82"/>
      <c r="H43" s="83"/>
    </row>
    <row r="44" spans="1:8" ht="31.5" customHeight="1" thickBot="1" x14ac:dyDescent="0.35">
      <c r="A44" s="110" t="s">
        <v>300</v>
      </c>
      <c r="B44" s="55" t="str">
        <f>IFERROR(IF(B20-B40-B41-B42-B43-'E Mietber.'!H21&gt;0,B20-B40-B41-B42-B43-'E Mietber.'!H21,""),"")</f>
        <v/>
      </c>
      <c r="C44" s="3"/>
      <c r="D44" s="3"/>
      <c r="E44" s="3"/>
      <c r="F44" s="87"/>
      <c r="G44" s="88"/>
      <c r="H44" s="89"/>
    </row>
    <row r="45" spans="1:8" ht="15" thickTop="1" x14ac:dyDescent="0.3">
      <c r="A45" s="13" t="s">
        <v>302</v>
      </c>
      <c r="B45" s="111" t="e">
        <f>SUM(B40:B44)</f>
        <v>#DIV/0!</v>
      </c>
      <c r="C45" s="3"/>
      <c r="D45" s="3"/>
      <c r="E45" s="3"/>
      <c r="G45" s="82"/>
      <c r="H45" s="83"/>
    </row>
    <row r="46" spans="1:8" x14ac:dyDescent="0.3">
      <c r="A46" s="582"/>
      <c r="B46" s="621"/>
      <c r="C46" s="621"/>
      <c r="D46" s="621"/>
      <c r="E46" s="621"/>
      <c r="G46" s="82"/>
      <c r="H46" s="83"/>
    </row>
    <row r="47" spans="1:8" x14ac:dyDescent="0.3">
      <c r="A47" s="579" t="s">
        <v>312</v>
      </c>
      <c r="B47" s="3"/>
      <c r="C47" s="3"/>
      <c r="D47" s="3"/>
      <c r="E47" s="3"/>
      <c r="G47" s="82"/>
      <c r="H47" s="83"/>
    </row>
    <row r="48" spans="1:8" x14ac:dyDescent="0.3">
      <c r="A48" s="580" t="s">
        <v>313</v>
      </c>
      <c r="B48" s="581"/>
      <c r="C48" s="3"/>
      <c r="D48" s="3"/>
      <c r="E48" s="3"/>
      <c r="G48" s="82"/>
      <c r="H48" s="83"/>
    </row>
    <row r="49" spans="1:8" x14ac:dyDescent="0.3">
      <c r="A49" s="582" t="s">
        <v>315</v>
      </c>
      <c r="B49" s="8">
        <f>+'E Mietber.'!H21</f>
        <v>0</v>
      </c>
      <c r="C49" s="3"/>
      <c r="D49" s="3"/>
      <c r="E49" s="3"/>
      <c r="G49" s="112">
        <f>+B49-'E Mietber.'!H21</f>
        <v>0</v>
      </c>
      <c r="H49" s="113" t="s">
        <v>6</v>
      </c>
    </row>
    <row r="50" spans="1:8" x14ac:dyDescent="0.3">
      <c r="A50" s="583" t="s">
        <v>314</v>
      </c>
      <c r="B50" s="584" t="e">
        <f>+'E Mietber.'!H15/B49-1</f>
        <v>#DIV/0!</v>
      </c>
      <c r="C50" s="3"/>
      <c r="D50" s="3"/>
      <c r="E50" s="3"/>
      <c r="G50" s="112" t="e">
        <f>+B50-('E Mietber.'!H15/'E Mietber.'!H21-1)</f>
        <v>#DIV/0!</v>
      </c>
      <c r="H50" s="113" t="s">
        <v>6</v>
      </c>
    </row>
    <row r="51" spans="1:8" x14ac:dyDescent="0.3">
      <c r="A51" s="583" t="s">
        <v>311</v>
      </c>
      <c r="B51" s="8">
        <f>+'Erg.-Übersicht'!B49*1.25</f>
        <v>0</v>
      </c>
      <c r="C51" s="621"/>
      <c r="D51" s="621"/>
      <c r="E51" s="621"/>
      <c r="G51" s="112">
        <f>+B51-'E Mietber.'!H21-'E Mietber.'!F29</f>
        <v>0</v>
      </c>
      <c r="H51" s="113" t="s">
        <v>6</v>
      </c>
    </row>
  </sheetData>
  <sheetProtection algorithmName="SHA-512" hashValue="EcZw33DQovdKDG96yllKB0HkzXMtN05nwa7VoT1Tv2zPesYh8U5Ljea9BvDVnlnM6aNBDT+u39iiAGHWq7t2oQ==" saltValue="Ej6bIFsOS0xj8RJ79KTz6Q==" spinCount="100000" sheet="1" objects="1" scenarios="1"/>
  <mergeCells count="13">
    <mergeCell ref="A4:E4"/>
    <mergeCell ref="B30:B31"/>
    <mergeCell ref="C30:C31"/>
    <mergeCell ref="D30:D31"/>
    <mergeCell ref="B34:B35"/>
    <mergeCell ref="C34:C35"/>
    <mergeCell ref="D34:D35"/>
    <mergeCell ref="B23:B24"/>
    <mergeCell ref="C23:C24"/>
    <mergeCell ref="D23:D24"/>
    <mergeCell ref="B26:B27"/>
    <mergeCell ref="C26:C27"/>
    <mergeCell ref="D26:D27"/>
  </mergeCells>
  <conditionalFormatting sqref="A25">
    <cfRule type="containsErrors" dxfId="128" priority="14">
      <formula>ISERROR(A25)</formula>
    </cfRule>
  </conditionalFormatting>
  <conditionalFormatting sqref="G14:G16 G18:G20">
    <cfRule type="expression" dxfId="127" priority="12">
      <formula>G14&lt;&gt;0</formula>
    </cfRule>
  </conditionalFormatting>
  <conditionalFormatting sqref="G35">
    <cfRule type="expression" dxfId="126" priority="11">
      <formula>G35&lt;&gt;0</formula>
    </cfRule>
  </conditionalFormatting>
  <conditionalFormatting sqref="G17">
    <cfRule type="expression" dxfId="125" priority="9">
      <formula>G17&lt;&gt;0</formula>
    </cfRule>
  </conditionalFormatting>
  <conditionalFormatting sqref="G12">
    <cfRule type="expression" dxfId="124" priority="6">
      <formula>$G$12=""</formula>
    </cfRule>
    <cfRule type="expression" dxfId="123" priority="13">
      <formula>G12&lt;&gt;0</formula>
    </cfRule>
  </conditionalFormatting>
  <conditionalFormatting sqref="G11">
    <cfRule type="expression" dxfId="122" priority="4">
      <formula>$G$11=""</formula>
    </cfRule>
    <cfRule type="expression" dxfId="121" priority="5">
      <formula>G11&lt;&gt;0</formula>
    </cfRule>
  </conditionalFormatting>
  <conditionalFormatting sqref="G51">
    <cfRule type="expression" dxfId="120" priority="3">
      <formula>G51&lt;&gt;0</formula>
    </cfRule>
  </conditionalFormatting>
  <conditionalFormatting sqref="G49">
    <cfRule type="expression" dxfId="119" priority="2">
      <formula>G49&lt;&gt;0</formula>
    </cfRule>
  </conditionalFormatting>
  <conditionalFormatting sqref="G50">
    <cfRule type="expression" dxfId="118" priority="1">
      <formula>G50&lt;&gt;0</formula>
    </cfRule>
  </conditionalFormatting>
  <pageMargins left="0.7" right="0.7" top="0.78740157499999996" bottom="0.78740157499999996" header="0.3" footer="0.3"/>
  <pageSetup paperSize="9" scale="83" orientation="portrait" r:id="rId1"/>
  <rowBreaks count="1" manualBreakCount="1">
    <brk id="37" max="4" man="1"/>
  </rowBreaks>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dimension ref="A1:P192"/>
  <sheetViews>
    <sheetView zoomScaleNormal="100" workbookViewId="0">
      <selection activeCell="A6" sqref="A6"/>
    </sheetView>
  </sheetViews>
  <sheetFormatPr baseColWidth="10" defaultColWidth="11.44140625" defaultRowHeight="14.4" x14ac:dyDescent="0.3"/>
  <cols>
    <col min="1" max="1" width="11.109375" style="119" customWidth="1"/>
    <col min="2" max="2" width="24.44140625" style="119" customWidth="1"/>
    <col min="3" max="4" width="14" style="119" customWidth="1"/>
    <col min="5" max="5" width="13.88671875" style="119" customWidth="1"/>
    <col min="6" max="6" width="13.109375" style="119" customWidth="1"/>
    <col min="7" max="7" width="13.33203125" style="119" customWidth="1"/>
    <col min="8" max="8" width="5" style="64" customWidth="1"/>
    <col min="9" max="9" width="7.6640625" style="119" bestFit="1" customWidth="1"/>
    <col min="10" max="16384" width="11.44140625" style="119"/>
  </cols>
  <sheetData>
    <row r="1" spans="1:16" ht="25.8" x14ac:dyDescent="0.5">
      <c r="A1" s="622" t="s">
        <v>329</v>
      </c>
      <c r="B1" s="627"/>
      <c r="C1" s="627"/>
      <c r="D1" s="627"/>
      <c r="E1" s="627"/>
      <c r="F1" s="627"/>
      <c r="G1" s="620"/>
      <c r="H1" s="949"/>
      <c r="I1" s="950"/>
      <c r="J1" s="950"/>
      <c r="K1" s="950"/>
      <c r="L1" s="950"/>
      <c r="M1" s="950"/>
      <c r="N1" s="950"/>
      <c r="O1" s="950"/>
      <c r="P1" s="950"/>
    </row>
    <row r="2" spans="1:16" ht="25.8" x14ac:dyDescent="0.5">
      <c r="A2" s="623" t="s">
        <v>24</v>
      </c>
      <c r="B2" s="535"/>
      <c r="C2" s="535"/>
      <c r="D2" s="535"/>
      <c r="E2" s="628"/>
      <c r="F2" s="535"/>
      <c r="G2" s="624" t="str">
        <f>+Stammdaten!D2</f>
        <v>Version 1.7</v>
      </c>
      <c r="H2" s="949"/>
      <c r="I2" s="950"/>
      <c r="J2" s="950"/>
      <c r="K2" s="950"/>
      <c r="L2" s="950"/>
      <c r="M2" s="950"/>
      <c r="N2" s="950"/>
      <c r="O2" s="950"/>
      <c r="P2" s="950"/>
    </row>
    <row r="3" spans="1:16" x14ac:dyDescent="0.3">
      <c r="A3" s="116">
        <f>+Stammdaten!B5</f>
        <v>0</v>
      </c>
      <c r="B3" s="482"/>
      <c r="C3" s="307">
        <f>+Stammdaten!B3</f>
        <v>0</v>
      </c>
      <c r="D3" s="307"/>
      <c r="E3" s="629"/>
      <c r="F3" s="625" t="s">
        <v>41</v>
      </c>
      <c r="G3" s="626"/>
      <c r="H3" s="949"/>
      <c r="I3" s="950"/>
      <c r="J3" s="950"/>
      <c r="K3" s="950"/>
      <c r="L3" s="950"/>
      <c r="M3" s="950"/>
      <c r="N3" s="950"/>
      <c r="O3" s="950"/>
      <c r="P3" s="950"/>
    </row>
    <row r="4" spans="1:16" s="126" customFormat="1" ht="15" thickBot="1" x14ac:dyDescent="0.35">
      <c r="A4" s="123"/>
      <c r="B4" s="124"/>
      <c r="C4" s="124"/>
      <c r="D4" s="124"/>
      <c r="E4" s="124"/>
      <c r="F4" s="124"/>
      <c r="G4" s="125"/>
      <c r="H4" s="525"/>
      <c r="I4" s="525"/>
      <c r="J4" s="525"/>
      <c r="K4" s="525"/>
      <c r="L4" s="525"/>
      <c r="M4" s="525"/>
      <c r="N4" s="525"/>
      <c r="O4" s="525"/>
      <c r="P4" s="525"/>
    </row>
    <row r="5" spans="1:16" s="126" customFormat="1" ht="30.75" customHeight="1" thickBot="1" x14ac:dyDescent="0.35">
      <c r="A5" s="1000" t="s">
        <v>287</v>
      </c>
      <c r="B5" s="1001"/>
      <c r="C5" s="1001"/>
      <c r="D5" s="1001"/>
      <c r="E5" s="1001"/>
      <c r="F5" s="1001"/>
      <c r="G5" s="1002"/>
      <c r="H5" s="525"/>
      <c r="I5" s="525"/>
      <c r="J5" s="951"/>
      <c r="K5" s="525"/>
      <c r="L5" s="525"/>
      <c r="M5" s="525"/>
      <c r="N5" s="525"/>
      <c r="O5" s="525"/>
      <c r="P5" s="525"/>
    </row>
    <row r="6" spans="1:16" s="126" customFormat="1" ht="15" thickBot="1" x14ac:dyDescent="0.35">
      <c r="A6" s="127"/>
      <c r="B6" s="128"/>
      <c r="C6" s="128"/>
      <c r="D6" s="128"/>
      <c r="E6" s="128"/>
      <c r="F6" s="128"/>
      <c r="G6" s="129"/>
      <c r="H6" s="525"/>
      <c r="I6" s="525"/>
      <c r="J6" s="952"/>
      <c r="K6" s="525"/>
      <c r="L6" s="525"/>
      <c r="M6" s="525"/>
      <c r="N6" s="525"/>
      <c r="O6" s="525"/>
      <c r="P6" s="525"/>
    </row>
    <row r="7" spans="1:16" s="126" customFormat="1" ht="15" thickBot="1" x14ac:dyDescent="0.35">
      <c r="A7" s="774" t="s">
        <v>103</v>
      </c>
      <c r="B7" s="775"/>
      <c r="C7" s="775"/>
      <c r="D7" s="775"/>
      <c r="E7" s="163">
        <v>1</v>
      </c>
      <c r="F7" s="164">
        <v>0</v>
      </c>
      <c r="G7" s="164">
        <v>0</v>
      </c>
      <c r="H7" s="525"/>
      <c r="I7" s="525"/>
      <c r="J7" s="525"/>
      <c r="K7" s="525"/>
      <c r="L7" s="525"/>
      <c r="M7" s="525"/>
      <c r="N7" s="525"/>
      <c r="O7" s="525"/>
      <c r="P7" s="525"/>
    </row>
    <row r="8" spans="1:16" ht="29.4" thickBot="1" x14ac:dyDescent="0.35">
      <c r="A8" s="776" t="s">
        <v>0</v>
      </c>
      <c r="B8" s="776" t="s">
        <v>1</v>
      </c>
      <c r="C8" s="777" t="s">
        <v>107</v>
      </c>
      <c r="D8" s="778" t="s">
        <v>109</v>
      </c>
      <c r="E8" s="779" t="s">
        <v>108</v>
      </c>
      <c r="F8" s="780" t="s">
        <v>21</v>
      </c>
      <c r="G8" s="780" t="s">
        <v>115</v>
      </c>
      <c r="H8" s="949"/>
      <c r="I8" s="950"/>
      <c r="J8" s="950"/>
      <c r="K8" s="950"/>
      <c r="L8" s="950"/>
      <c r="M8" s="950"/>
      <c r="N8" s="950"/>
      <c r="O8" s="950"/>
      <c r="P8" s="950"/>
    </row>
    <row r="9" spans="1:16" x14ac:dyDescent="0.3">
      <c r="A9" s="130"/>
      <c r="B9" s="131"/>
      <c r="C9" s="131"/>
      <c r="D9" s="132"/>
      <c r="E9" s="308">
        <f t="shared" ref="E9:E37" si="0">+D9*$E$7</f>
        <v>0</v>
      </c>
      <c r="F9" s="309">
        <f t="shared" ref="F9:F37" si="1">+D9*$F$7</f>
        <v>0</v>
      </c>
      <c r="G9" s="309">
        <f>+D9*$G$7</f>
        <v>0</v>
      </c>
      <c r="H9" s="949"/>
      <c r="I9" s="950"/>
      <c r="J9" s="950"/>
      <c r="K9" s="950"/>
      <c r="L9" s="950"/>
      <c r="M9" s="950"/>
      <c r="N9" s="950"/>
      <c r="O9" s="950"/>
      <c r="P9" s="950"/>
    </row>
    <row r="10" spans="1:16" x14ac:dyDescent="0.3">
      <c r="A10" s="130"/>
      <c r="B10" s="131"/>
      <c r="C10" s="131"/>
      <c r="D10" s="132"/>
      <c r="E10" s="310">
        <f t="shared" si="0"/>
        <v>0</v>
      </c>
      <c r="F10" s="311">
        <f t="shared" si="1"/>
        <v>0</v>
      </c>
      <c r="G10" s="309">
        <f t="shared" ref="G10:G65" si="2">+D10*$G$7</f>
        <v>0</v>
      </c>
      <c r="H10" s="949"/>
      <c r="I10" s="950"/>
      <c r="J10" s="950"/>
      <c r="K10" s="950"/>
      <c r="L10" s="950"/>
      <c r="M10" s="950"/>
      <c r="N10" s="950"/>
      <c r="O10" s="950"/>
      <c r="P10" s="950"/>
    </row>
    <row r="11" spans="1:16" x14ac:dyDescent="0.3">
      <c r="A11" s="130"/>
      <c r="B11" s="131"/>
      <c r="C11" s="131"/>
      <c r="D11" s="132"/>
      <c r="E11" s="310">
        <f t="shared" si="0"/>
        <v>0</v>
      </c>
      <c r="F11" s="311">
        <f t="shared" si="1"/>
        <v>0</v>
      </c>
      <c r="G11" s="309">
        <f t="shared" si="2"/>
        <v>0</v>
      </c>
      <c r="H11" s="949"/>
      <c r="I11" s="950"/>
      <c r="J11" s="950"/>
      <c r="K11" s="950"/>
      <c r="L11" s="950"/>
      <c r="M11" s="950"/>
      <c r="N11" s="950"/>
      <c r="O11" s="950"/>
      <c r="P11" s="950"/>
    </row>
    <row r="12" spans="1:16" x14ac:dyDescent="0.3">
      <c r="A12" s="130"/>
      <c r="B12" s="131"/>
      <c r="C12" s="131"/>
      <c r="D12" s="132"/>
      <c r="E12" s="310">
        <f t="shared" si="0"/>
        <v>0</v>
      </c>
      <c r="F12" s="311">
        <f t="shared" si="1"/>
        <v>0</v>
      </c>
      <c r="G12" s="309">
        <f t="shared" si="2"/>
        <v>0</v>
      </c>
      <c r="H12" s="949"/>
      <c r="I12" s="950"/>
      <c r="J12" s="950"/>
      <c r="K12" s="950"/>
      <c r="L12" s="950"/>
      <c r="M12" s="950"/>
      <c r="N12" s="950"/>
      <c r="O12" s="950"/>
      <c r="P12" s="950"/>
    </row>
    <row r="13" spans="1:16" x14ac:dyDescent="0.3">
      <c r="A13" s="130"/>
      <c r="B13" s="131"/>
      <c r="C13" s="131"/>
      <c r="D13" s="132"/>
      <c r="E13" s="310">
        <f t="shared" si="0"/>
        <v>0</v>
      </c>
      <c r="F13" s="311">
        <f t="shared" si="1"/>
        <v>0</v>
      </c>
      <c r="G13" s="309">
        <f t="shared" si="2"/>
        <v>0</v>
      </c>
      <c r="H13" s="949"/>
      <c r="I13" s="950"/>
      <c r="J13" s="950"/>
      <c r="K13" s="950"/>
      <c r="L13" s="950"/>
      <c r="M13" s="950"/>
      <c r="N13" s="950"/>
      <c r="O13" s="950"/>
      <c r="P13" s="950"/>
    </row>
    <row r="14" spans="1:16" x14ac:dyDescent="0.3">
      <c r="A14" s="130"/>
      <c r="B14" s="131"/>
      <c r="C14" s="131"/>
      <c r="D14" s="132"/>
      <c r="E14" s="310">
        <f t="shared" si="0"/>
        <v>0</v>
      </c>
      <c r="F14" s="311">
        <f t="shared" si="1"/>
        <v>0</v>
      </c>
      <c r="G14" s="309">
        <f t="shared" si="2"/>
        <v>0</v>
      </c>
      <c r="H14" s="949"/>
      <c r="I14" s="950"/>
      <c r="J14" s="950"/>
      <c r="K14" s="950"/>
      <c r="L14" s="950"/>
      <c r="M14" s="950"/>
      <c r="N14" s="950"/>
      <c r="O14" s="950"/>
      <c r="P14" s="950"/>
    </row>
    <row r="15" spans="1:16" x14ac:dyDescent="0.3">
      <c r="A15" s="130"/>
      <c r="B15" s="131"/>
      <c r="C15" s="131"/>
      <c r="D15" s="132"/>
      <c r="E15" s="310">
        <f t="shared" si="0"/>
        <v>0</v>
      </c>
      <c r="F15" s="311">
        <f t="shared" si="1"/>
        <v>0</v>
      </c>
      <c r="G15" s="309">
        <f t="shared" si="2"/>
        <v>0</v>
      </c>
    </row>
    <row r="16" spans="1:16" x14ac:dyDescent="0.3">
      <c r="A16" s="130"/>
      <c r="B16" s="131"/>
      <c r="C16" s="131"/>
      <c r="D16" s="132"/>
      <c r="E16" s="310">
        <f t="shared" si="0"/>
        <v>0</v>
      </c>
      <c r="F16" s="311">
        <f t="shared" si="1"/>
        <v>0</v>
      </c>
      <c r="G16" s="309">
        <f t="shared" si="2"/>
        <v>0</v>
      </c>
    </row>
    <row r="17" spans="1:7" x14ac:dyDescent="0.3">
      <c r="A17" s="130"/>
      <c r="B17" s="131"/>
      <c r="C17" s="131"/>
      <c r="D17" s="132"/>
      <c r="E17" s="310">
        <f t="shared" si="0"/>
        <v>0</v>
      </c>
      <c r="F17" s="311">
        <f t="shared" si="1"/>
        <v>0</v>
      </c>
      <c r="G17" s="309">
        <f t="shared" si="2"/>
        <v>0</v>
      </c>
    </row>
    <row r="18" spans="1:7" x14ac:dyDescent="0.3">
      <c r="A18" s="130"/>
      <c r="B18" s="131"/>
      <c r="C18" s="131"/>
      <c r="D18" s="132"/>
      <c r="E18" s="310">
        <f t="shared" si="0"/>
        <v>0</v>
      </c>
      <c r="F18" s="311">
        <f t="shared" si="1"/>
        <v>0</v>
      </c>
      <c r="G18" s="309">
        <f t="shared" si="2"/>
        <v>0</v>
      </c>
    </row>
    <row r="19" spans="1:7" x14ac:dyDescent="0.3">
      <c r="A19" s="130"/>
      <c r="B19" s="131"/>
      <c r="C19" s="131"/>
      <c r="D19" s="132"/>
      <c r="E19" s="310">
        <f t="shared" si="0"/>
        <v>0</v>
      </c>
      <c r="F19" s="311">
        <f t="shared" si="1"/>
        <v>0</v>
      </c>
      <c r="G19" s="309">
        <f t="shared" si="2"/>
        <v>0</v>
      </c>
    </row>
    <row r="20" spans="1:7" x14ac:dyDescent="0.3">
      <c r="A20" s="130"/>
      <c r="B20" s="131"/>
      <c r="C20" s="131"/>
      <c r="D20" s="132"/>
      <c r="E20" s="310">
        <f t="shared" si="0"/>
        <v>0</v>
      </c>
      <c r="F20" s="311">
        <f t="shared" si="1"/>
        <v>0</v>
      </c>
      <c r="G20" s="309">
        <f t="shared" si="2"/>
        <v>0</v>
      </c>
    </row>
    <row r="21" spans="1:7" x14ac:dyDescent="0.3">
      <c r="A21" s="130"/>
      <c r="B21" s="131"/>
      <c r="C21" s="131"/>
      <c r="D21" s="132"/>
      <c r="E21" s="310">
        <f t="shared" si="0"/>
        <v>0</v>
      </c>
      <c r="F21" s="311">
        <f t="shared" si="1"/>
        <v>0</v>
      </c>
      <c r="G21" s="309">
        <f t="shared" si="2"/>
        <v>0</v>
      </c>
    </row>
    <row r="22" spans="1:7" x14ac:dyDescent="0.3">
      <c r="A22" s="130"/>
      <c r="B22" s="131"/>
      <c r="C22" s="131"/>
      <c r="D22" s="132"/>
      <c r="E22" s="310">
        <f t="shared" si="0"/>
        <v>0</v>
      </c>
      <c r="F22" s="311">
        <f t="shared" si="1"/>
        <v>0</v>
      </c>
      <c r="G22" s="309">
        <f t="shared" si="2"/>
        <v>0</v>
      </c>
    </row>
    <row r="23" spans="1:7" x14ac:dyDescent="0.3">
      <c r="A23" s="130"/>
      <c r="B23" s="131"/>
      <c r="C23" s="131"/>
      <c r="D23" s="132"/>
      <c r="E23" s="310">
        <f t="shared" si="0"/>
        <v>0</v>
      </c>
      <c r="F23" s="311">
        <f t="shared" si="1"/>
        <v>0</v>
      </c>
      <c r="G23" s="309">
        <f t="shared" si="2"/>
        <v>0</v>
      </c>
    </row>
    <row r="24" spans="1:7" x14ac:dyDescent="0.3">
      <c r="A24" s="130"/>
      <c r="B24" s="131"/>
      <c r="C24" s="131"/>
      <c r="D24" s="132"/>
      <c r="E24" s="310">
        <f t="shared" si="0"/>
        <v>0</v>
      </c>
      <c r="F24" s="311">
        <f t="shared" si="1"/>
        <v>0</v>
      </c>
      <c r="G24" s="309">
        <f t="shared" si="2"/>
        <v>0</v>
      </c>
    </row>
    <row r="25" spans="1:7" x14ac:dyDescent="0.3">
      <c r="A25" s="130"/>
      <c r="B25" s="131"/>
      <c r="C25" s="131"/>
      <c r="D25" s="132"/>
      <c r="E25" s="310">
        <f t="shared" si="0"/>
        <v>0</v>
      </c>
      <c r="F25" s="311">
        <f t="shared" si="1"/>
        <v>0</v>
      </c>
      <c r="G25" s="309">
        <f t="shared" si="2"/>
        <v>0</v>
      </c>
    </row>
    <row r="26" spans="1:7" x14ac:dyDescent="0.3">
      <c r="A26" s="130"/>
      <c r="B26" s="131"/>
      <c r="C26" s="131"/>
      <c r="D26" s="132"/>
      <c r="E26" s="310">
        <f t="shared" si="0"/>
        <v>0</v>
      </c>
      <c r="F26" s="311">
        <f t="shared" si="1"/>
        <v>0</v>
      </c>
      <c r="G26" s="309">
        <f t="shared" si="2"/>
        <v>0</v>
      </c>
    </row>
    <row r="27" spans="1:7" x14ac:dyDescent="0.3">
      <c r="A27" s="130"/>
      <c r="B27" s="131"/>
      <c r="C27" s="131"/>
      <c r="D27" s="132"/>
      <c r="E27" s="310">
        <f t="shared" si="0"/>
        <v>0</v>
      </c>
      <c r="F27" s="311">
        <f t="shared" si="1"/>
        <v>0</v>
      </c>
      <c r="G27" s="309">
        <f t="shared" si="2"/>
        <v>0</v>
      </c>
    </row>
    <row r="28" spans="1:7" x14ac:dyDescent="0.3">
      <c r="A28" s="130"/>
      <c r="B28" s="131"/>
      <c r="C28" s="131"/>
      <c r="D28" s="132"/>
      <c r="E28" s="310">
        <f t="shared" si="0"/>
        <v>0</v>
      </c>
      <c r="F28" s="311">
        <f t="shared" si="1"/>
        <v>0</v>
      </c>
      <c r="G28" s="309">
        <f t="shared" si="2"/>
        <v>0</v>
      </c>
    </row>
    <row r="29" spans="1:7" x14ac:dyDescent="0.3">
      <c r="A29" s="130"/>
      <c r="B29" s="131"/>
      <c r="C29" s="131"/>
      <c r="D29" s="132"/>
      <c r="E29" s="310">
        <f t="shared" si="0"/>
        <v>0</v>
      </c>
      <c r="F29" s="311">
        <f t="shared" si="1"/>
        <v>0</v>
      </c>
      <c r="G29" s="309">
        <f t="shared" si="2"/>
        <v>0</v>
      </c>
    </row>
    <row r="30" spans="1:7" x14ac:dyDescent="0.3">
      <c r="A30" s="130"/>
      <c r="B30" s="131"/>
      <c r="C30" s="131"/>
      <c r="D30" s="132"/>
      <c r="E30" s="310">
        <f t="shared" si="0"/>
        <v>0</v>
      </c>
      <c r="F30" s="311">
        <f t="shared" si="1"/>
        <v>0</v>
      </c>
      <c r="G30" s="309">
        <f t="shared" si="2"/>
        <v>0</v>
      </c>
    </row>
    <row r="31" spans="1:7" x14ac:dyDescent="0.3">
      <c r="A31" s="130"/>
      <c r="B31" s="131"/>
      <c r="C31" s="131"/>
      <c r="D31" s="132"/>
      <c r="E31" s="310">
        <f t="shared" si="0"/>
        <v>0</v>
      </c>
      <c r="F31" s="311">
        <f t="shared" si="1"/>
        <v>0</v>
      </c>
      <c r="G31" s="309">
        <f t="shared" si="2"/>
        <v>0</v>
      </c>
    </row>
    <row r="32" spans="1:7" x14ac:dyDescent="0.3">
      <c r="A32" s="130"/>
      <c r="B32" s="131"/>
      <c r="C32" s="131"/>
      <c r="D32" s="132"/>
      <c r="E32" s="310">
        <f t="shared" si="0"/>
        <v>0</v>
      </c>
      <c r="F32" s="311">
        <f t="shared" si="1"/>
        <v>0</v>
      </c>
      <c r="G32" s="309">
        <f t="shared" si="2"/>
        <v>0</v>
      </c>
    </row>
    <row r="33" spans="1:7" x14ac:dyDescent="0.3">
      <c r="A33" s="130"/>
      <c r="B33" s="131"/>
      <c r="C33" s="131"/>
      <c r="D33" s="132"/>
      <c r="E33" s="310">
        <f t="shared" si="0"/>
        <v>0</v>
      </c>
      <c r="F33" s="311">
        <f t="shared" si="1"/>
        <v>0</v>
      </c>
      <c r="G33" s="309">
        <f t="shared" si="2"/>
        <v>0</v>
      </c>
    </row>
    <row r="34" spans="1:7" x14ac:dyDescent="0.3">
      <c r="A34" s="130"/>
      <c r="B34" s="131"/>
      <c r="C34" s="131"/>
      <c r="D34" s="132"/>
      <c r="E34" s="310">
        <f t="shared" si="0"/>
        <v>0</v>
      </c>
      <c r="F34" s="311">
        <f t="shared" si="1"/>
        <v>0</v>
      </c>
      <c r="G34" s="309">
        <f t="shared" si="2"/>
        <v>0</v>
      </c>
    </row>
    <row r="35" spans="1:7" x14ac:dyDescent="0.3">
      <c r="A35" s="130"/>
      <c r="B35" s="131"/>
      <c r="C35" s="131"/>
      <c r="D35" s="132"/>
      <c r="E35" s="310">
        <f t="shared" si="0"/>
        <v>0</v>
      </c>
      <c r="F35" s="311">
        <f t="shared" si="1"/>
        <v>0</v>
      </c>
      <c r="G35" s="309">
        <f t="shared" si="2"/>
        <v>0</v>
      </c>
    </row>
    <row r="36" spans="1:7" x14ac:dyDescent="0.3">
      <c r="A36" s="130"/>
      <c r="B36" s="131"/>
      <c r="C36" s="131"/>
      <c r="D36" s="132"/>
      <c r="E36" s="310">
        <f t="shared" si="0"/>
        <v>0</v>
      </c>
      <c r="F36" s="311">
        <f t="shared" si="1"/>
        <v>0</v>
      </c>
      <c r="G36" s="309">
        <f t="shared" si="2"/>
        <v>0</v>
      </c>
    </row>
    <row r="37" spans="1:7" x14ac:dyDescent="0.3">
      <c r="A37" s="130"/>
      <c r="B37" s="131"/>
      <c r="C37" s="131"/>
      <c r="D37" s="132"/>
      <c r="E37" s="310">
        <f t="shared" si="0"/>
        <v>0</v>
      </c>
      <c r="F37" s="311">
        <f t="shared" si="1"/>
        <v>0</v>
      </c>
      <c r="G37" s="309">
        <f t="shared" si="2"/>
        <v>0</v>
      </c>
    </row>
    <row r="38" spans="1:7" x14ac:dyDescent="0.3">
      <c r="A38" s="130"/>
      <c r="B38" s="131"/>
      <c r="C38" s="131"/>
      <c r="D38" s="132"/>
      <c r="E38" s="310">
        <f t="shared" ref="E38:E65" si="3">+D38*$E$7</f>
        <v>0</v>
      </c>
      <c r="F38" s="311">
        <f t="shared" ref="F38:F65" si="4">+D38*$F$7</f>
        <v>0</v>
      </c>
      <c r="G38" s="309">
        <f t="shared" si="2"/>
        <v>0</v>
      </c>
    </row>
    <row r="39" spans="1:7" x14ac:dyDescent="0.3">
      <c r="A39" s="130"/>
      <c r="B39" s="131"/>
      <c r="C39" s="131"/>
      <c r="D39" s="132"/>
      <c r="E39" s="310">
        <f t="shared" si="3"/>
        <v>0</v>
      </c>
      <c r="F39" s="311">
        <f t="shared" si="4"/>
        <v>0</v>
      </c>
      <c r="G39" s="309">
        <f t="shared" si="2"/>
        <v>0</v>
      </c>
    </row>
    <row r="40" spans="1:7" x14ac:dyDescent="0.3">
      <c r="A40" s="130"/>
      <c r="B40" s="131"/>
      <c r="C40" s="131"/>
      <c r="D40" s="132"/>
      <c r="E40" s="310">
        <f t="shared" si="3"/>
        <v>0</v>
      </c>
      <c r="F40" s="311">
        <f t="shared" si="4"/>
        <v>0</v>
      </c>
      <c r="G40" s="309">
        <f t="shared" si="2"/>
        <v>0</v>
      </c>
    </row>
    <row r="41" spans="1:7" x14ac:dyDescent="0.3">
      <c r="A41" s="130"/>
      <c r="B41" s="131"/>
      <c r="C41" s="131"/>
      <c r="D41" s="132"/>
      <c r="E41" s="310">
        <f t="shared" si="3"/>
        <v>0</v>
      </c>
      <c r="F41" s="311">
        <f t="shared" si="4"/>
        <v>0</v>
      </c>
      <c r="G41" s="309">
        <f t="shared" si="2"/>
        <v>0</v>
      </c>
    </row>
    <row r="42" spans="1:7" x14ac:dyDescent="0.3">
      <c r="A42" s="130"/>
      <c r="B42" s="131"/>
      <c r="C42" s="131"/>
      <c r="D42" s="132"/>
      <c r="E42" s="310">
        <f t="shared" si="3"/>
        <v>0</v>
      </c>
      <c r="F42" s="311">
        <f t="shared" si="4"/>
        <v>0</v>
      </c>
      <c r="G42" s="309">
        <f t="shared" si="2"/>
        <v>0</v>
      </c>
    </row>
    <row r="43" spans="1:7" x14ac:dyDescent="0.3">
      <c r="A43" s="130"/>
      <c r="B43" s="131"/>
      <c r="C43" s="131"/>
      <c r="D43" s="132"/>
      <c r="E43" s="310">
        <f t="shared" si="3"/>
        <v>0</v>
      </c>
      <c r="F43" s="311">
        <f t="shared" si="4"/>
        <v>0</v>
      </c>
      <c r="G43" s="309">
        <f t="shared" si="2"/>
        <v>0</v>
      </c>
    </row>
    <row r="44" spans="1:7" x14ac:dyDescent="0.3">
      <c r="A44" s="130"/>
      <c r="B44" s="131"/>
      <c r="C44" s="131"/>
      <c r="D44" s="132"/>
      <c r="E44" s="310">
        <f t="shared" si="3"/>
        <v>0</v>
      </c>
      <c r="F44" s="311">
        <f t="shared" si="4"/>
        <v>0</v>
      </c>
      <c r="G44" s="309">
        <f t="shared" si="2"/>
        <v>0</v>
      </c>
    </row>
    <row r="45" spans="1:7" x14ac:dyDescent="0.3">
      <c r="A45" s="130"/>
      <c r="B45" s="131"/>
      <c r="C45" s="131"/>
      <c r="D45" s="132"/>
      <c r="E45" s="310">
        <f t="shared" si="3"/>
        <v>0</v>
      </c>
      <c r="F45" s="311">
        <f t="shared" si="4"/>
        <v>0</v>
      </c>
      <c r="G45" s="309">
        <f t="shared" si="2"/>
        <v>0</v>
      </c>
    </row>
    <row r="46" spans="1:7" x14ac:dyDescent="0.3">
      <c r="A46" s="130"/>
      <c r="B46" s="131"/>
      <c r="C46" s="131"/>
      <c r="D46" s="132"/>
      <c r="E46" s="310">
        <f t="shared" si="3"/>
        <v>0</v>
      </c>
      <c r="F46" s="311">
        <f t="shared" si="4"/>
        <v>0</v>
      </c>
      <c r="G46" s="309">
        <f t="shared" si="2"/>
        <v>0</v>
      </c>
    </row>
    <row r="47" spans="1:7" x14ac:dyDescent="0.3">
      <c r="A47" s="130"/>
      <c r="B47" s="131"/>
      <c r="C47" s="131"/>
      <c r="D47" s="132"/>
      <c r="E47" s="310">
        <f t="shared" si="3"/>
        <v>0</v>
      </c>
      <c r="F47" s="311">
        <f t="shared" si="4"/>
        <v>0</v>
      </c>
      <c r="G47" s="309">
        <f t="shared" si="2"/>
        <v>0</v>
      </c>
    </row>
    <row r="48" spans="1:7" x14ac:dyDescent="0.3">
      <c r="A48" s="130"/>
      <c r="B48" s="131"/>
      <c r="C48" s="131"/>
      <c r="D48" s="132"/>
      <c r="E48" s="310">
        <f t="shared" si="3"/>
        <v>0</v>
      </c>
      <c r="F48" s="311">
        <f t="shared" si="4"/>
        <v>0</v>
      </c>
      <c r="G48" s="309">
        <f t="shared" si="2"/>
        <v>0</v>
      </c>
    </row>
    <row r="49" spans="1:7" x14ac:dyDescent="0.3">
      <c r="A49" s="130"/>
      <c r="B49" s="131"/>
      <c r="C49" s="131"/>
      <c r="D49" s="132"/>
      <c r="E49" s="310">
        <f t="shared" si="3"/>
        <v>0</v>
      </c>
      <c r="F49" s="311">
        <f t="shared" si="4"/>
        <v>0</v>
      </c>
      <c r="G49" s="309">
        <f t="shared" si="2"/>
        <v>0</v>
      </c>
    </row>
    <row r="50" spans="1:7" x14ac:dyDescent="0.3">
      <c r="A50" s="130"/>
      <c r="B50" s="131"/>
      <c r="C50" s="131"/>
      <c r="D50" s="132"/>
      <c r="E50" s="310">
        <f t="shared" si="3"/>
        <v>0</v>
      </c>
      <c r="F50" s="311">
        <f t="shared" si="4"/>
        <v>0</v>
      </c>
      <c r="G50" s="309">
        <f t="shared" si="2"/>
        <v>0</v>
      </c>
    </row>
    <row r="51" spans="1:7" x14ac:dyDescent="0.3">
      <c r="A51" s="130"/>
      <c r="B51" s="131"/>
      <c r="C51" s="131"/>
      <c r="D51" s="132"/>
      <c r="E51" s="310">
        <f t="shared" si="3"/>
        <v>0</v>
      </c>
      <c r="F51" s="311">
        <f t="shared" si="4"/>
        <v>0</v>
      </c>
      <c r="G51" s="309">
        <f>+D51*$G$7</f>
        <v>0</v>
      </c>
    </row>
    <row r="52" spans="1:7" x14ac:dyDescent="0.3">
      <c r="A52" s="130"/>
      <c r="B52" s="131"/>
      <c r="C52" s="131"/>
      <c r="D52" s="132"/>
      <c r="E52" s="310">
        <f t="shared" si="3"/>
        <v>0</v>
      </c>
      <c r="F52" s="311">
        <f t="shared" si="4"/>
        <v>0</v>
      </c>
      <c r="G52" s="309">
        <f t="shared" si="2"/>
        <v>0</v>
      </c>
    </row>
    <row r="53" spans="1:7" x14ac:dyDescent="0.3">
      <c r="A53" s="130"/>
      <c r="B53" s="131"/>
      <c r="C53" s="131"/>
      <c r="D53" s="132"/>
      <c r="E53" s="310">
        <f t="shared" si="3"/>
        <v>0</v>
      </c>
      <c r="F53" s="311">
        <f t="shared" si="4"/>
        <v>0</v>
      </c>
      <c r="G53" s="309">
        <f t="shared" si="2"/>
        <v>0</v>
      </c>
    </row>
    <row r="54" spans="1:7" x14ac:dyDescent="0.3">
      <c r="A54" s="130"/>
      <c r="B54" s="131"/>
      <c r="C54" s="131"/>
      <c r="D54" s="132"/>
      <c r="E54" s="310">
        <f t="shared" si="3"/>
        <v>0</v>
      </c>
      <c r="F54" s="311">
        <f t="shared" si="4"/>
        <v>0</v>
      </c>
      <c r="G54" s="309">
        <f t="shared" si="2"/>
        <v>0</v>
      </c>
    </row>
    <row r="55" spans="1:7" x14ac:dyDescent="0.3">
      <c r="A55" s="130"/>
      <c r="B55" s="131"/>
      <c r="C55" s="131"/>
      <c r="D55" s="132"/>
      <c r="E55" s="310">
        <f t="shared" si="3"/>
        <v>0</v>
      </c>
      <c r="F55" s="311">
        <f t="shared" si="4"/>
        <v>0</v>
      </c>
      <c r="G55" s="309">
        <f t="shared" si="2"/>
        <v>0</v>
      </c>
    </row>
    <row r="56" spans="1:7" x14ac:dyDescent="0.3">
      <c r="A56" s="130"/>
      <c r="B56" s="131"/>
      <c r="C56" s="131"/>
      <c r="D56" s="132"/>
      <c r="E56" s="310">
        <f t="shared" si="3"/>
        <v>0</v>
      </c>
      <c r="F56" s="311">
        <f t="shared" si="4"/>
        <v>0</v>
      </c>
      <c r="G56" s="309">
        <f t="shared" si="2"/>
        <v>0</v>
      </c>
    </row>
    <row r="57" spans="1:7" x14ac:dyDescent="0.3">
      <c r="A57" s="130"/>
      <c r="B57" s="131"/>
      <c r="C57" s="131"/>
      <c r="D57" s="132"/>
      <c r="E57" s="310">
        <f t="shared" si="3"/>
        <v>0</v>
      </c>
      <c r="F57" s="311">
        <f t="shared" si="4"/>
        <v>0</v>
      </c>
      <c r="G57" s="309">
        <f t="shared" si="2"/>
        <v>0</v>
      </c>
    </row>
    <row r="58" spans="1:7" x14ac:dyDescent="0.3">
      <c r="A58" s="130"/>
      <c r="B58" s="131"/>
      <c r="C58" s="131"/>
      <c r="D58" s="132"/>
      <c r="E58" s="310">
        <f t="shared" si="3"/>
        <v>0</v>
      </c>
      <c r="F58" s="311">
        <f t="shared" si="4"/>
        <v>0</v>
      </c>
      <c r="G58" s="309">
        <f t="shared" si="2"/>
        <v>0</v>
      </c>
    </row>
    <row r="59" spans="1:7" x14ac:dyDescent="0.3">
      <c r="A59" s="130"/>
      <c r="B59" s="131"/>
      <c r="C59" s="131"/>
      <c r="D59" s="132"/>
      <c r="E59" s="310">
        <f t="shared" si="3"/>
        <v>0</v>
      </c>
      <c r="F59" s="311">
        <f t="shared" si="4"/>
        <v>0</v>
      </c>
      <c r="G59" s="309">
        <f t="shared" si="2"/>
        <v>0</v>
      </c>
    </row>
    <row r="60" spans="1:7" x14ac:dyDescent="0.3">
      <c r="A60" s="130"/>
      <c r="B60" s="131"/>
      <c r="C60" s="131"/>
      <c r="D60" s="132"/>
      <c r="E60" s="310">
        <f t="shared" ref="E60:E61" si="5">+D60*$E$7</f>
        <v>0</v>
      </c>
      <c r="F60" s="311">
        <f t="shared" ref="F60:F61" si="6">+D60*$F$7</f>
        <v>0</v>
      </c>
      <c r="G60" s="309">
        <f t="shared" ref="G60:G61" si="7">+D60*$G$7</f>
        <v>0</v>
      </c>
    </row>
    <row r="61" spans="1:7" x14ac:dyDescent="0.3">
      <c r="A61" s="130"/>
      <c r="B61" s="131"/>
      <c r="C61" s="131"/>
      <c r="D61" s="132"/>
      <c r="E61" s="310">
        <f t="shared" si="5"/>
        <v>0</v>
      </c>
      <c r="F61" s="311">
        <f t="shared" si="6"/>
        <v>0</v>
      </c>
      <c r="G61" s="309">
        <f t="shared" si="7"/>
        <v>0</v>
      </c>
    </row>
    <row r="62" spans="1:7" x14ac:dyDescent="0.3">
      <c r="A62" s="130"/>
      <c r="B62" s="131"/>
      <c r="C62" s="131"/>
      <c r="D62" s="132"/>
      <c r="E62" s="310">
        <f t="shared" si="3"/>
        <v>0</v>
      </c>
      <c r="F62" s="311">
        <f t="shared" si="4"/>
        <v>0</v>
      </c>
      <c r="G62" s="309">
        <f t="shared" si="2"/>
        <v>0</v>
      </c>
    </row>
    <row r="63" spans="1:7" x14ac:dyDescent="0.3">
      <c r="A63" s="130"/>
      <c r="B63" s="131"/>
      <c r="C63" s="131"/>
      <c r="D63" s="132"/>
      <c r="E63" s="310">
        <f t="shared" si="3"/>
        <v>0</v>
      </c>
      <c r="F63" s="311">
        <f t="shared" si="4"/>
        <v>0</v>
      </c>
      <c r="G63" s="309">
        <f t="shared" si="2"/>
        <v>0</v>
      </c>
    </row>
    <row r="64" spans="1:7" x14ac:dyDescent="0.3">
      <c r="A64" s="130"/>
      <c r="B64" s="131"/>
      <c r="C64" s="131"/>
      <c r="D64" s="132"/>
      <c r="E64" s="310">
        <f t="shared" si="3"/>
        <v>0</v>
      </c>
      <c r="F64" s="311">
        <f t="shared" si="4"/>
        <v>0</v>
      </c>
      <c r="G64" s="309">
        <f t="shared" si="2"/>
        <v>0</v>
      </c>
    </row>
    <row r="65" spans="1:10" ht="16.2" thickBot="1" x14ac:dyDescent="0.35">
      <c r="A65" s="133"/>
      <c r="B65" s="134"/>
      <c r="C65" s="134"/>
      <c r="D65" s="132"/>
      <c r="E65" s="312">
        <f t="shared" si="3"/>
        <v>0</v>
      </c>
      <c r="F65" s="313">
        <f t="shared" si="4"/>
        <v>0</v>
      </c>
      <c r="G65" s="309">
        <f t="shared" si="2"/>
        <v>0</v>
      </c>
    </row>
    <row r="66" spans="1:10" ht="16.2" thickBot="1" x14ac:dyDescent="0.35">
      <c r="A66" s="781" t="s">
        <v>106</v>
      </c>
      <c r="B66" s="782"/>
      <c r="C66" s="782"/>
      <c r="D66" s="165">
        <f>+SUM(D9:D65)</f>
        <v>0</v>
      </c>
      <c r="E66" s="165">
        <f>+SUM(E9:E65)</f>
        <v>0</v>
      </c>
      <c r="F66" s="166">
        <f>+SUM(F9:F65)</f>
        <v>0</v>
      </c>
      <c r="G66" s="166">
        <f>+SUM(G9:G65)</f>
        <v>0</v>
      </c>
      <c r="I66" s="114" t="s">
        <v>288</v>
      </c>
      <c r="J66" s="167">
        <f>D66-G66-F66-E66</f>
        <v>0</v>
      </c>
    </row>
    <row r="67" spans="1:10" ht="16.2" thickBot="1" x14ac:dyDescent="0.35">
      <c r="A67" s="136"/>
      <c r="B67" s="137"/>
      <c r="C67" s="137"/>
      <c r="D67" s="137"/>
      <c r="E67" s="138"/>
      <c r="F67" s="137"/>
      <c r="G67" s="139"/>
    </row>
    <row r="68" spans="1:10" ht="16.2" thickBot="1" x14ac:dyDescent="0.35">
      <c r="A68" s="781" t="s">
        <v>104</v>
      </c>
      <c r="B68" s="783"/>
      <c r="C68" s="783"/>
      <c r="D68" s="775"/>
      <c r="E68" s="168">
        <v>0</v>
      </c>
      <c r="F68" s="169">
        <v>1</v>
      </c>
      <c r="G68" s="168">
        <v>0</v>
      </c>
    </row>
    <row r="69" spans="1:10" ht="29.4" thickBot="1" x14ac:dyDescent="0.35">
      <c r="A69" s="784" t="s">
        <v>0</v>
      </c>
      <c r="B69" s="784" t="s">
        <v>1</v>
      </c>
      <c r="C69" s="785" t="s">
        <v>107</v>
      </c>
      <c r="D69" s="786" t="s">
        <v>109</v>
      </c>
      <c r="E69" s="787" t="s">
        <v>108</v>
      </c>
      <c r="F69" s="788" t="s">
        <v>21</v>
      </c>
      <c r="G69" s="780" t="s">
        <v>115</v>
      </c>
    </row>
    <row r="70" spans="1:10" x14ac:dyDescent="0.3">
      <c r="A70" s="131"/>
      <c r="B70" s="131"/>
      <c r="C70" s="131"/>
      <c r="D70" s="132"/>
      <c r="E70" s="314">
        <f>+D70*$E$68</f>
        <v>0</v>
      </c>
      <c r="F70" s="315">
        <f>+D70*$F$68</f>
        <v>0</v>
      </c>
      <c r="G70" s="309">
        <f>+D70*$G$68</f>
        <v>0</v>
      </c>
    </row>
    <row r="71" spans="1:10" x14ac:dyDescent="0.3">
      <c r="A71" s="131"/>
      <c r="B71" s="131"/>
      <c r="C71" s="131"/>
      <c r="D71" s="132"/>
      <c r="E71" s="314">
        <f t="shared" ref="E71:E90" si="8">+D71*$E$68</f>
        <v>0</v>
      </c>
      <c r="F71" s="315">
        <f t="shared" ref="F71:F90" si="9">+D71*$F$68</f>
        <v>0</v>
      </c>
      <c r="G71" s="309">
        <f t="shared" ref="G71:G90" si="10">+D71*$G$68</f>
        <v>0</v>
      </c>
    </row>
    <row r="72" spans="1:10" x14ac:dyDescent="0.3">
      <c r="A72" s="131"/>
      <c r="B72" s="131"/>
      <c r="C72" s="131"/>
      <c r="D72" s="132"/>
      <c r="E72" s="314">
        <f t="shared" si="8"/>
        <v>0</v>
      </c>
      <c r="F72" s="315">
        <f t="shared" si="9"/>
        <v>0</v>
      </c>
      <c r="G72" s="309">
        <f t="shared" si="10"/>
        <v>0</v>
      </c>
    </row>
    <row r="73" spans="1:10" x14ac:dyDescent="0.3">
      <c r="A73" s="131"/>
      <c r="B73" s="131"/>
      <c r="C73" s="131"/>
      <c r="D73" s="132"/>
      <c r="E73" s="314">
        <f t="shared" si="8"/>
        <v>0</v>
      </c>
      <c r="F73" s="315">
        <f t="shared" si="9"/>
        <v>0</v>
      </c>
      <c r="G73" s="309">
        <f t="shared" si="10"/>
        <v>0</v>
      </c>
    </row>
    <row r="74" spans="1:10" x14ac:dyDescent="0.3">
      <c r="A74" s="131"/>
      <c r="B74" s="131"/>
      <c r="C74" s="131"/>
      <c r="D74" s="132"/>
      <c r="E74" s="314">
        <f t="shared" si="8"/>
        <v>0</v>
      </c>
      <c r="F74" s="315">
        <f t="shared" si="9"/>
        <v>0</v>
      </c>
      <c r="G74" s="309">
        <f t="shared" si="10"/>
        <v>0</v>
      </c>
    </row>
    <row r="75" spans="1:10" x14ac:dyDescent="0.3">
      <c r="A75" s="131"/>
      <c r="B75" s="131"/>
      <c r="C75" s="131"/>
      <c r="D75" s="132"/>
      <c r="E75" s="314">
        <f t="shared" si="8"/>
        <v>0</v>
      </c>
      <c r="F75" s="315">
        <f t="shared" si="9"/>
        <v>0</v>
      </c>
      <c r="G75" s="309">
        <f t="shared" si="10"/>
        <v>0</v>
      </c>
    </row>
    <row r="76" spans="1:10" x14ac:dyDescent="0.3">
      <c r="A76" s="131"/>
      <c r="B76" s="131"/>
      <c r="C76" s="131"/>
      <c r="D76" s="132"/>
      <c r="E76" s="314">
        <f t="shared" si="8"/>
        <v>0</v>
      </c>
      <c r="F76" s="315">
        <f t="shared" si="9"/>
        <v>0</v>
      </c>
      <c r="G76" s="309">
        <f t="shared" si="10"/>
        <v>0</v>
      </c>
    </row>
    <row r="77" spans="1:10" x14ac:dyDescent="0.3">
      <c r="A77" s="131"/>
      <c r="B77" s="131"/>
      <c r="C77" s="131"/>
      <c r="D77" s="132"/>
      <c r="E77" s="314">
        <f t="shared" si="8"/>
        <v>0</v>
      </c>
      <c r="F77" s="315">
        <f t="shared" si="9"/>
        <v>0</v>
      </c>
      <c r="G77" s="309">
        <f t="shared" si="10"/>
        <v>0</v>
      </c>
    </row>
    <row r="78" spans="1:10" x14ac:dyDescent="0.3">
      <c r="A78" s="131"/>
      <c r="B78" s="131"/>
      <c r="C78" s="131"/>
      <c r="D78" s="132"/>
      <c r="E78" s="314">
        <f t="shared" si="8"/>
        <v>0</v>
      </c>
      <c r="F78" s="315">
        <f t="shared" si="9"/>
        <v>0</v>
      </c>
      <c r="G78" s="309">
        <f t="shared" si="10"/>
        <v>0</v>
      </c>
    </row>
    <row r="79" spans="1:10" x14ac:dyDescent="0.3">
      <c r="A79" s="131"/>
      <c r="B79" s="131"/>
      <c r="C79" s="131"/>
      <c r="D79" s="132"/>
      <c r="E79" s="314">
        <f t="shared" si="8"/>
        <v>0</v>
      </c>
      <c r="F79" s="315">
        <f t="shared" si="9"/>
        <v>0</v>
      </c>
      <c r="G79" s="309">
        <f t="shared" si="10"/>
        <v>0</v>
      </c>
    </row>
    <row r="80" spans="1:10" x14ac:dyDescent="0.3">
      <c r="A80" s="131"/>
      <c r="B80" s="131"/>
      <c r="C80" s="131"/>
      <c r="D80" s="132"/>
      <c r="E80" s="314">
        <f t="shared" si="8"/>
        <v>0</v>
      </c>
      <c r="F80" s="315">
        <f t="shared" si="9"/>
        <v>0</v>
      </c>
      <c r="G80" s="309">
        <f t="shared" si="10"/>
        <v>0</v>
      </c>
    </row>
    <row r="81" spans="1:10" x14ac:dyDescent="0.3">
      <c r="A81" s="131"/>
      <c r="B81" s="131"/>
      <c r="C81" s="131"/>
      <c r="D81" s="132"/>
      <c r="E81" s="314">
        <f t="shared" si="8"/>
        <v>0</v>
      </c>
      <c r="F81" s="315">
        <f t="shared" si="9"/>
        <v>0</v>
      </c>
      <c r="G81" s="309">
        <f t="shared" si="10"/>
        <v>0</v>
      </c>
    </row>
    <row r="82" spans="1:10" x14ac:dyDescent="0.3">
      <c r="A82" s="131"/>
      <c r="B82" s="131"/>
      <c r="C82" s="131"/>
      <c r="D82" s="132"/>
      <c r="E82" s="314">
        <f t="shared" si="8"/>
        <v>0</v>
      </c>
      <c r="F82" s="315">
        <f t="shared" si="9"/>
        <v>0</v>
      </c>
      <c r="G82" s="309">
        <f t="shared" si="10"/>
        <v>0</v>
      </c>
    </row>
    <row r="83" spans="1:10" x14ac:dyDescent="0.3">
      <c r="A83" s="131"/>
      <c r="B83" s="131"/>
      <c r="C83" s="131"/>
      <c r="D83" s="132"/>
      <c r="E83" s="314">
        <f t="shared" si="8"/>
        <v>0</v>
      </c>
      <c r="F83" s="315">
        <f t="shared" si="9"/>
        <v>0</v>
      </c>
      <c r="G83" s="309">
        <f t="shared" si="10"/>
        <v>0</v>
      </c>
    </row>
    <row r="84" spans="1:10" x14ac:dyDescent="0.3">
      <c r="A84" s="131"/>
      <c r="B84" s="131"/>
      <c r="C84" s="131"/>
      <c r="D84" s="132"/>
      <c r="E84" s="314">
        <f t="shared" si="8"/>
        <v>0</v>
      </c>
      <c r="F84" s="315">
        <f t="shared" si="9"/>
        <v>0</v>
      </c>
      <c r="G84" s="309">
        <f t="shared" si="10"/>
        <v>0</v>
      </c>
    </row>
    <row r="85" spans="1:10" x14ac:dyDescent="0.3">
      <c r="A85" s="131"/>
      <c r="B85" s="131"/>
      <c r="C85" s="131"/>
      <c r="D85" s="132"/>
      <c r="E85" s="314">
        <f t="shared" si="8"/>
        <v>0</v>
      </c>
      <c r="F85" s="315">
        <f t="shared" si="9"/>
        <v>0</v>
      </c>
      <c r="G85" s="309">
        <f t="shared" si="10"/>
        <v>0</v>
      </c>
    </row>
    <row r="86" spans="1:10" x14ac:dyDescent="0.3">
      <c r="A86" s="131"/>
      <c r="B86" s="131"/>
      <c r="C86" s="131"/>
      <c r="D86" s="132"/>
      <c r="E86" s="314">
        <f t="shared" si="8"/>
        <v>0</v>
      </c>
      <c r="F86" s="315">
        <f t="shared" si="9"/>
        <v>0</v>
      </c>
      <c r="G86" s="309">
        <f t="shared" si="10"/>
        <v>0</v>
      </c>
    </row>
    <row r="87" spans="1:10" x14ac:dyDescent="0.3">
      <c r="A87" s="131"/>
      <c r="B87" s="131"/>
      <c r="C87" s="131"/>
      <c r="D87" s="132"/>
      <c r="E87" s="314">
        <f t="shared" si="8"/>
        <v>0</v>
      </c>
      <c r="F87" s="315">
        <f t="shared" si="9"/>
        <v>0</v>
      </c>
      <c r="G87" s="309">
        <f t="shared" si="10"/>
        <v>0</v>
      </c>
    </row>
    <row r="88" spans="1:10" x14ac:dyDescent="0.3">
      <c r="A88" s="131"/>
      <c r="B88" s="131"/>
      <c r="C88" s="131"/>
      <c r="D88" s="132"/>
      <c r="E88" s="314">
        <f t="shared" si="8"/>
        <v>0</v>
      </c>
      <c r="F88" s="315">
        <f t="shared" si="9"/>
        <v>0</v>
      </c>
      <c r="G88" s="309">
        <f t="shared" si="10"/>
        <v>0</v>
      </c>
    </row>
    <row r="89" spans="1:10" ht="15.6" x14ac:dyDescent="0.3">
      <c r="A89" s="140"/>
      <c r="B89" s="141"/>
      <c r="C89" s="141"/>
      <c r="D89" s="132"/>
      <c r="E89" s="314">
        <f t="shared" si="8"/>
        <v>0</v>
      </c>
      <c r="F89" s="315">
        <f t="shared" si="9"/>
        <v>0</v>
      </c>
      <c r="G89" s="309">
        <f t="shared" si="10"/>
        <v>0</v>
      </c>
    </row>
    <row r="90" spans="1:10" ht="16.2" thickBot="1" x14ac:dyDescent="0.35">
      <c r="A90" s="140"/>
      <c r="B90" s="141"/>
      <c r="C90" s="141"/>
      <c r="D90" s="132"/>
      <c r="E90" s="314">
        <f t="shared" si="8"/>
        <v>0</v>
      </c>
      <c r="F90" s="315">
        <f t="shared" si="9"/>
        <v>0</v>
      </c>
      <c r="G90" s="309">
        <f t="shared" si="10"/>
        <v>0</v>
      </c>
    </row>
    <row r="91" spans="1:10" ht="16.2" thickBot="1" x14ac:dyDescent="0.35">
      <c r="A91" s="781" t="s">
        <v>110</v>
      </c>
      <c r="B91" s="782"/>
      <c r="C91" s="782"/>
      <c r="D91" s="165">
        <f>+SUM(D70:D90)</f>
        <v>0</v>
      </c>
      <c r="E91" s="166">
        <f>+SUM(E70:E90)</f>
        <v>0</v>
      </c>
      <c r="F91" s="165">
        <f>+SUM(F70:F90)</f>
        <v>0</v>
      </c>
      <c r="G91" s="166">
        <f>+SUM(G70:G90)</f>
        <v>0</v>
      </c>
      <c r="I91" s="114" t="s">
        <v>288</v>
      </c>
      <c r="J91" s="167">
        <f>D91-G91-F91-E91</f>
        <v>0</v>
      </c>
    </row>
    <row r="92" spans="1:10" ht="16.2" thickBot="1" x14ac:dyDescent="0.35">
      <c r="A92" s="136"/>
      <c r="B92" s="137"/>
      <c r="C92" s="137"/>
      <c r="D92" s="137"/>
      <c r="E92" s="138"/>
      <c r="F92" s="137"/>
      <c r="G92" s="139"/>
    </row>
    <row r="93" spans="1:10" ht="16.2" thickBot="1" x14ac:dyDescent="0.35">
      <c r="A93" s="781" t="s">
        <v>105</v>
      </c>
      <c r="B93" s="783"/>
      <c r="C93" s="783"/>
      <c r="D93" s="783"/>
      <c r="E93" s="168">
        <v>0</v>
      </c>
      <c r="F93" s="168">
        <v>0</v>
      </c>
      <c r="G93" s="169">
        <v>1</v>
      </c>
    </row>
    <row r="94" spans="1:10" ht="29.4" thickBot="1" x14ac:dyDescent="0.35">
      <c r="A94" s="784" t="s">
        <v>0</v>
      </c>
      <c r="B94" s="784" t="s">
        <v>1</v>
      </c>
      <c r="C94" s="785" t="s">
        <v>107</v>
      </c>
      <c r="D94" s="786" t="s">
        <v>109</v>
      </c>
      <c r="E94" s="787" t="s">
        <v>108</v>
      </c>
      <c r="F94" s="787" t="s">
        <v>21</v>
      </c>
      <c r="G94" s="788" t="s">
        <v>115</v>
      </c>
    </row>
    <row r="95" spans="1:10" x14ac:dyDescent="0.3">
      <c r="A95" s="131"/>
      <c r="B95" s="141"/>
      <c r="C95" s="141"/>
      <c r="D95" s="132"/>
      <c r="E95" s="314">
        <f>+D95*$E$93</f>
        <v>0</v>
      </c>
      <c r="F95" s="309">
        <f>+D95*$F$93</f>
        <v>0</v>
      </c>
      <c r="G95" s="315">
        <f>+D95*$G$93</f>
        <v>0</v>
      </c>
    </row>
    <row r="96" spans="1:10" x14ac:dyDescent="0.3">
      <c r="A96" s="131"/>
      <c r="B96" s="141"/>
      <c r="C96" s="141"/>
      <c r="D96" s="132"/>
      <c r="E96" s="314">
        <f t="shared" ref="E96:E106" si="11">+D96*$E$93</f>
        <v>0</v>
      </c>
      <c r="F96" s="309">
        <f t="shared" ref="F96:F106" si="12">+D96*$F$93</f>
        <v>0</v>
      </c>
      <c r="G96" s="315">
        <f t="shared" ref="G96:G106" si="13">+D96*$G$93</f>
        <v>0</v>
      </c>
    </row>
    <row r="97" spans="1:11" x14ac:dyDescent="0.3">
      <c r="A97" s="131"/>
      <c r="B97" s="141"/>
      <c r="C97" s="141"/>
      <c r="D97" s="132"/>
      <c r="E97" s="314">
        <f t="shared" si="11"/>
        <v>0</v>
      </c>
      <c r="F97" s="309">
        <f t="shared" si="12"/>
        <v>0</v>
      </c>
      <c r="G97" s="315">
        <f t="shared" si="13"/>
        <v>0</v>
      </c>
    </row>
    <row r="98" spans="1:11" x14ac:dyDescent="0.3">
      <c r="A98" s="131"/>
      <c r="B98" s="141"/>
      <c r="C98" s="141"/>
      <c r="D98" s="132"/>
      <c r="E98" s="314">
        <f t="shared" si="11"/>
        <v>0</v>
      </c>
      <c r="F98" s="309">
        <f t="shared" si="12"/>
        <v>0</v>
      </c>
      <c r="G98" s="315">
        <f t="shared" si="13"/>
        <v>0</v>
      </c>
    </row>
    <row r="99" spans="1:11" x14ac:dyDescent="0.3">
      <c r="A99" s="131"/>
      <c r="B99" s="141"/>
      <c r="C99" s="141"/>
      <c r="D99" s="132"/>
      <c r="E99" s="316">
        <f t="shared" si="11"/>
        <v>0</v>
      </c>
      <c r="F99" s="179">
        <f t="shared" si="12"/>
        <v>0</v>
      </c>
      <c r="G99" s="179">
        <f t="shared" si="13"/>
        <v>0</v>
      </c>
      <c r="H99" s="142"/>
      <c r="I99" s="142"/>
      <c r="J99" s="142"/>
      <c r="K99" s="142"/>
    </row>
    <row r="100" spans="1:11" x14ac:dyDescent="0.3">
      <c r="A100" s="131"/>
      <c r="B100" s="141"/>
      <c r="C100" s="141"/>
      <c r="D100" s="132"/>
      <c r="E100" s="316">
        <f t="shared" si="11"/>
        <v>0</v>
      </c>
      <c r="F100" s="179">
        <f t="shared" si="12"/>
        <v>0</v>
      </c>
      <c r="G100" s="179">
        <f t="shared" si="13"/>
        <v>0</v>
      </c>
      <c r="H100" s="142"/>
      <c r="I100" s="142"/>
      <c r="J100" s="142"/>
      <c r="K100" s="142"/>
    </row>
    <row r="101" spans="1:11" x14ac:dyDescent="0.3">
      <c r="A101" s="143"/>
      <c r="B101" s="144"/>
      <c r="C101" s="144"/>
      <c r="D101" s="145"/>
      <c r="E101" s="316">
        <f t="shared" si="11"/>
        <v>0</v>
      </c>
      <c r="F101" s="179">
        <f t="shared" si="12"/>
        <v>0</v>
      </c>
      <c r="G101" s="179">
        <f t="shared" si="13"/>
        <v>0</v>
      </c>
      <c r="H101" s="142"/>
      <c r="I101" s="142"/>
      <c r="J101" s="142"/>
      <c r="K101" s="142"/>
    </row>
    <row r="102" spans="1:11" x14ac:dyDescent="0.3">
      <c r="A102" s="143"/>
      <c r="B102" s="144"/>
      <c r="C102" s="144"/>
      <c r="D102" s="145"/>
      <c r="E102" s="316">
        <f t="shared" si="11"/>
        <v>0</v>
      </c>
      <c r="F102" s="179">
        <f t="shared" si="12"/>
        <v>0</v>
      </c>
      <c r="G102" s="179">
        <f t="shared" si="13"/>
        <v>0</v>
      </c>
      <c r="H102" s="142"/>
      <c r="I102" s="142"/>
      <c r="J102" s="142"/>
      <c r="K102" s="142"/>
    </row>
    <row r="103" spans="1:11" x14ac:dyDescent="0.3">
      <c r="A103" s="143"/>
      <c r="B103" s="144"/>
      <c r="C103" s="144"/>
      <c r="D103" s="145"/>
      <c r="E103" s="316">
        <f t="shared" si="11"/>
        <v>0</v>
      </c>
      <c r="F103" s="179">
        <f t="shared" si="12"/>
        <v>0</v>
      </c>
      <c r="G103" s="179">
        <f t="shared" si="13"/>
        <v>0</v>
      </c>
      <c r="H103" s="142"/>
      <c r="I103" s="142"/>
      <c r="J103" s="142"/>
      <c r="K103" s="142"/>
    </row>
    <row r="104" spans="1:11" x14ac:dyDescent="0.3">
      <c r="A104" s="143"/>
      <c r="B104" s="144"/>
      <c r="C104" s="144"/>
      <c r="D104" s="145"/>
      <c r="E104" s="316">
        <f t="shared" si="11"/>
        <v>0</v>
      </c>
      <c r="F104" s="179">
        <f t="shared" si="12"/>
        <v>0</v>
      </c>
      <c r="G104" s="179">
        <f t="shared" si="13"/>
        <v>0</v>
      </c>
      <c r="H104" s="142"/>
      <c r="I104" s="142"/>
      <c r="J104" s="142"/>
      <c r="K104" s="142"/>
    </row>
    <row r="105" spans="1:11" x14ac:dyDescent="0.3">
      <c r="A105" s="144"/>
      <c r="B105" s="144"/>
      <c r="C105" s="144"/>
      <c r="D105" s="145"/>
      <c r="E105" s="316">
        <f t="shared" si="11"/>
        <v>0</v>
      </c>
      <c r="F105" s="179">
        <f t="shared" si="12"/>
        <v>0</v>
      </c>
      <c r="G105" s="179">
        <f t="shared" si="13"/>
        <v>0</v>
      </c>
      <c r="H105" s="142"/>
      <c r="I105" s="142"/>
      <c r="J105" s="142"/>
      <c r="K105" s="142"/>
    </row>
    <row r="106" spans="1:11" ht="15" thickBot="1" x14ac:dyDescent="0.35">
      <c r="A106" s="146"/>
      <c r="B106" s="147"/>
      <c r="C106" s="147"/>
      <c r="D106" s="148"/>
      <c r="E106" s="317">
        <f t="shared" si="11"/>
        <v>0</v>
      </c>
      <c r="F106" s="318">
        <f t="shared" si="12"/>
        <v>0</v>
      </c>
      <c r="G106" s="318">
        <f t="shared" si="13"/>
        <v>0</v>
      </c>
      <c r="H106" s="142"/>
      <c r="I106" s="142"/>
      <c r="J106" s="142"/>
      <c r="K106" s="142"/>
    </row>
    <row r="107" spans="1:11" ht="16.2" thickBot="1" x14ac:dyDescent="0.35">
      <c r="A107" s="789" t="s">
        <v>53</v>
      </c>
      <c r="B107" s="790"/>
      <c r="C107" s="790"/>
      <c r="D107" s="170">
        <f>+SUM(D95:D106)</f>
        <v>0</v>
      </c>
      <c r="E107" s="170">
        <f>+SUM(E95:E106)</f>
        <v>0</v>
      </c>
      <c r="F107" s="170">
        <f>+SUM(F95:F106)</f>
        <v>0</v>
      </c>
      <c r="G107" s="170">
        <f>+SUM(G95:G106)</f>
        <v>0</v>
      </c>
      <c r="H107" s="142"/>
      <c r="I107" s="114" t="s">
        <v>288</v>
      </c>
      <c r="J107" s="167">
        <f>D107-G107-F107-E107</f>
        <v>0</v>
      </c>
      <c r="K107" s="142"/>
    </row>
    <row r="108" spans="1:11" ht="16.2" thickBot="1" x14ac:dyDescent="0.35">
      <c r="A108" s="150"/>
      <c r="B108" s="151"/>
      <c r="C108" s="151"/>
      <c r="D108" s="151"/>
      <c r="E108" s="152"/>
      <c r="F108" s="151"/>
      <c r="G108" s="153"/>
      <c r="H108" s="142"/>
      <c r="I108" s="142"/>
      <c r="J108" s="142"/>
      <c r="K108" s="142"/>
    </row>
    <row r="109" spans="1:11" ht="46.5" customHeight="1" x14ac:dyDescent="0.3">
      <c r="A109" s="1003" t="s">
        <v>223</v>
      </c>
      <c r="B109" s="1004"/>
      <c r="C109" s="1004"/>
      <c r="D109" s="1005"/>
      <c r="E109" s="171" t="e">
        <f>+E154</f>
        <v>#DIV/0!</v>
      </c>
      <c r="F109" s="171" t="e">
        <f>+E155</f>
        <v>#DIV/0!</v>
      </c>
      <c r="G109" s="171" t="e">
        <f>+E156</f>
        <v>#DIV/0!</v>
      </c>
      <c r="H109" s="142"/>
      <c r="I109" s="142"/>
      <c r="J109" s="142"/>
      <c r="K109" s="142"/>
    </row>
    <row r="110" spans="1:11" ht="30.75" customHeight="1" thickBot="1" x14ac:dyDescent="0.35">
      <c r="A110" s="1006" t="s">
        <v>216</v>
      </c>
      <c r="B110" s="1007"/>
      <c r="C110" s="1007"/>
      <c r="D110" s="1007"/>
      <c r="E110" s="1007"/>
      <c r="F110" s="1007"/>
      <c r="G110" s="1008"/>
      <c r="H110" s="142"/>
      <c r="I110" s="142"/>
      <c r="J110" s="142"/>
      <c r="K110" s="142"/>
    </row>
    <row r="111" spans="1:11" ht="29.4" thickBot="1" x14ac:dyDescent="0.35">
      <c r="A111" s="791" t="s">
        <v>0</v>
      </c>
      <c r="B111" s="791" t="s">
        <v>1</v>
      </c>
      <c r="C111" s="792" t="s">
        <v>107</v>
      </c>
      <c r="D111" s="793" t="s">
        <v>109</v>
      </c>
      <c r="E111" s="788" t="s">
        <v>108</v>
      </c>
      <c r="F111" s="788" t="s">
        <v>21</v>
      </c>
      <c r="G111" s="788" t="s">
        <v>115</v>
      </c>
      <c r="H111" s="142"/>
      <c r="I111" s="142"/>
      <c r="J111" s="142"/>
      <c r="K111" s="142"/>
    </row>
    <row r="112" spans="1:11" x14ac:dyDescent="0.3">
      <c r="A112" s="154"/>
      <c r="B112" s="155"/>
      <c r="C112" s="155"/>
      <c r="D112" s="145"/>
      <c r="E112" s="316" t="e">
        <f>+D112*$E$109</f>
        <v>#DIV/0!</v>
      </c>
      <c r="F112" s="179" t="e">
        <f>+D112*$F$109</f>
        <v>#DIV/0!</v>
      </c>
      <c r="G112" s="179" t="e">
        <f>+D112*$G$109</f>
        <v>#DIV/0!</v>
      </c>
      <c r="H112" s="142"/>
      <c r="I112" s="142"/>
      <c r="J112" s="142"/>
      <c r="K112" s="142"/>
    </row>
    <row r="113" spans="1:11" x14ac:dyDescent="0.3">
      <c r="A113" s="154"/>
      <c r="B113" s="155"/>
      <c r="C113" s="155"/>
      <c r="D113" s="145"/>
      <c r="E113" s="316" t="e">
        <f t="shared" ref="E113:E126" si="14">+D113*$E$109</f>
        <v>#DIV/0!</v>
      </c>
      <c r="F113" s="179" t="e">
        <f t="shared" ref="F113:F126" si="15">+D113*$F$109</f>
        <v>#DIV/0!</v>
      </c>
      <c r="G113" s="179" t="e">
        <f t="shared" ref="G113:G126" si="16">+D113*$G$109</f>
        <v>#DIV/0!</v>
      </c>
      <c r="H113" s="142"/>
      <c r="I113" s="142"/>
      <c r="J113" s="142"/>
      <c r="K113" s="142"/>
    </row>
    <row r="114" spans="1:11" x14ac:dyDescent="0.3">
      <c r="A114" s="154"/>
      <c r="B114" s="155"/>
      <c r="C114" s="155"/>
      <c r="D114" s="145"/>
      <c r="E114" s="316" t="e">
        <f t="shared" si="14"/>
        <v>#DIV/0!</v>
      </c>
      <c r="F114" s="179" t="e">
        <f t="shared" si="15"/>
        <v>#DIV/0!</v>
      </c>
      <c r="G114" s="179" t="e">
        <f t="shared" si="16"/>
        <v>#DIV/0!</v>
      </c>
      <c r="H114" s="142"/>
      <c r="I114" s="142"/>
      <c r="J114" s="142"/>
      <c r="K114" s="142"/>
    </row>
    <row r="115" spans="1:11" x14ac:dyDescent="0.3">
      <c r="A115" s="154"/>
      <c r="B115" s="155"/>
      <c r="C115" s="155"/>
      <c r="D115" s="145"/>
      <c r="E115" s="316" t="e">
        <f t="shared" si="14"/>
        <v>#DIV/0!</v>
      </c>
      <c r="F115" s="179" t="e">
        <f t="shared" si="15"/>
        <v>#DIV/0!</v>
      </c>
      <c r="G115" s="179" t="e">
        <f t="shared" si="16"/>
        <v>#DIV/0!</v>
      </c>
      <c r="H115" s="142"/>
      <c r="I115" s="142"/>
      <c r="J115" s="142"/>
      <c r="K115" s="142"/>
    </row>
    <row r="116" spans="1:11" x14ac:dyDescent="0.3">
      <c r="A116" s="154"/>
      <c r="B116" s="155"/>
      <c r="C116" s="155"/>
      <c r="D116" s="145"/>
      <c r="E116" s="316" t="e">
        <f t="shared" si="14"/>
        <v>#DIV/0!</v>
      </c>
      <c r="F116" s="179" t="e">
        <f t="shared" si="15"/>
        <v>#DIV/0!</v>
      </c>
      <c r="G116" s="179" t="e">
        <f t="shared" si="16"/>
        <v>#DIV/0!</v>
      </c>
      <c r="H116" s="142"/>
      <c r="I116" s="142"/>
      <c r="J116" s="142"/>
      <c r="K116" s="142"/>
    </row>
    <row r="117" spans="1:11" x14ac:dyDescent="0.3">
      <c r="A117" s="154"/>
      <c r="B117" s="155"/>
      <c r="C117" s="155"/>
      <c r="D117" s="145"/>
      <c r="E117" s="316" t="e">
        <f t="shared" si="14"/>
        <v>#DIV/0!</v>
      </c>
      <c r="F117" s="179" t="e">
        <f t="shared" si="15"/>
        <v>#DIV/0!</v>
      </c>
      <c r="G117" s="179" t="e">
        <f t="shared" si="16"/>
        <v>#DIV/0!</v>
      </c>
      <c r="H117" s="142"/>
      <c r="I117" s="142"/>
      <c r="J117" s="142"/>
      <c r="K117" s="142"/>
    </row>
    <row r="118" spans="1:11" x14ac:dyDescent="0.3">
      <c r="A118" s="154"/>
      <c r="B118" s="155"/>
      <c r="C118" s="155"/>
      <c r="D118" s="145"/>
      <c r="E118" s="316" t="e">
        <f t="shared" si="14"/>
        <v>#DIV/0!</v>
      </c>
      <c r="F118" s="179" t="e">
        <f t="shared" si="15"/>
        <v>#DIV/0!</v>
      </c>
      <c r="G118" s="179" t="e">
        <f t="shared" si="16"/>
        <v>#DIV/0!</v>
      </c>
      <c r="H118" s="142"/>
      <c r="I118" s="142"/>
      <c r="J118" s="142"/>
      <c r="K118" s="142"/>
    </row>
    <row r="119" spans="1:11" x14ac:dyDescent="0.3">
      <c r="A119" s="154"/>
      <c r="B119" s="155"/>
      <c r="C119" s="155"/>
      <c r="D119" s="145"/>
      <c r="E119" s="316" t="e">
        <f t="shared" si="14"/>
        <v>#DIV/0!</v>
      </c>
      <c r="F119" s="179" t="e">
        <f t="shared" si="15"/>
        <v>#DIV/0!</v>
      </c>
      <c r="G119" s="179" t="e">
        <f t="shared" si="16"/>
        <v>#DIV/0!</v>
      </c>
      <c r="H119" s="142"/>
      <c r="I119" s="142"/>
      <c r="J119" s="142"/>
      <c r="K119" s="142"/>
    </row>
    <row r="120" spans="1:11" x14ac:dyDescent="0.3">
      <c r="A120" s="154"/>
      <c r="B120" s="155"/>
      <c r="C120" s="155"/>
      <c r="D120" s="145"/>
      <c r="E120" s="316" t="e">
        <f t="shared" si="14"/>
        <v>#DIV/0!</v>
      </c>
      <c r="F120" s="179" t="e">
        <f t="shared" si="15"/>
        <v>#DIV/0!</v>
      </c>
      <c r="G120" s="179" t="e">
        <f t="shared" si="16"/>
        <v>#DIV/0!</v>
      </c>
      <c r="H120" s="142"/>
      <c r="I120" s="142"/>
      <c r="J120" s="142"/>
      <c r="K120" s="142"/>
    </row>
    <row r="121" spans="1:11" x14ac:dyDescent="0.3">
      <c r="A121" s="154"/>
      <c r="B121" s="155"/>
      <c r="C121" s="155"/>
      <c r="D121" s="145"/>
      <c r="E121" s="316" t="e">
        <f t="shared" si="14"/>
        <v>#DIV/0!</v>
      </c>
      <c r="F121" s="179" t="e">
        <f t="shared" si="15"/>
        <v>#DIV/0!</v>
      </c>
      <c r="G121" s="179" t="e">
        <f t="shared" si="16"/>
        <v>#DIV/0!</v>
      </c>
      <c r="H121" s="142"/>
      <c r="I121" s="142"/>
      <c r="J121" s="142"/>
      <c r="K121" s="142"/>
    </row>
    <row r="122" spans="1:11" x14ac:dyDescent="0.3">
      <c r="A122" s="154"/>
      <c r="B122" s="155"/>
      <c r="C122" s="155"/>
      <c r="D122" s="145"/>
      <c r="E122" s="316" t="e">
        <f t="shared" si="14"/>
        <v>#DIV/0!</v>
      </c>
      <c r="F122" s="179" t="e">
        <f t="shared" si="15"/>
        <v>#DIV/0!</v>
      </c>
      <c r="G122" s="179" t="e">
        <f t="shared" si="16"/>
        <v>#DIV/0!</v>
      </c>
      <c r="H122" s="142"/>
      <c r="I122" s="142"/>
      <c r="J122" s="142"/>
      <c r="K122" s="142"/>
    </row>
    <row r="123" spans="1:11" x14ac:dyDescent="0.3">
      <c r="A123" s="154"/>
      <c r="B123" s="155"/>
      <c r="C123" s="155"/>
      <c r="D123" s="145"/>
      <c r="E123" s="316" t="e">
        <f t="shared" si="14"/>
        <v>#DIV/0!</v>
      </c>
      <c r="F123" s="179" t="e">
        <f t="shared" si="15"/>
        <v>#DIV/0!</v>
      </c>
      <c r="G123" s="179" t="e">
        <f t="shared" si="16"/>
        <v>#DIV/0!</v>
      </c>
      <c r="H123" s="142"/>
      <c r="I123" s="142"/>
      <c r="J123" s="142"/>
      <c r="K123" s="142"/>
    </row>
    <row r="124" spans="1:11" x14ac:dyDescent="0.3">
      <c r="A124" s="156"/>
      <c r="B124" s="144"/>
      <c r="C124" s="144"/>
      <c r="D124" s="145"/>
      <c r="E124" s="316" t="e">
        <f t="shared" si="14"/>
        <v>#DIV/0!</v>
      </c>
      <c r="F124" s="179" t="e">
        <f t="shared" si="15"/>
        <v>#DIV/0!</v>
      </c>
      <c r="G124" s="179" t="e">
        <f t="shared" si="16"/>
        <v>#DIV/0!</v>
      </c>
      <c r="H124" s="142"/>
      <c r="I124" s="142"/>
      <c r="J124" s="142"/>
      <c r="K124" s="142"/>
    </row>
    <row r="125" spans="1:11" ht="15.6" x14ac:dyDescent="0.3">
      <c r="A125" s="157"/>
      <c r="B125" s="144"/>
      <c r="C125" s="144"/>
      <c r="D125" s="145"/>
      <c r="E125" s="316" t="e">
        <f t="shared" si="14"/>
        <v>#DIV/0!</v>
      </c>
      <c r="F125" s="179" t="e">
        <f t="shared" si="15"/>
        <v>#DIV/0!</v>
      </c>
      <c r="G125" s="179" t="e">
        <f t="shared" si="16"/>
        <v>#DIV/0!</v>
      </c>
      <c r="H125" s="142"/>
      <c r="I125" s="142"/>
      <c r="J125" s="142"/>
      <c r="K125" s="142"/>
    </row>
    <row r="126" spans="1:11" ht="16.2" thickBot="1" x14ac:dyDescent="0.35">
      <c r="A126" s="157"/>
      <c r="B126" s="144"/>
      <c r="C126" s="144"/>
      <c r="D126" s="145"/>
      <c r="E126" s="316" t="e">
        <f t="shared" si="14"/>
        <v>#DIV/0!</v>
      </c>
      <c r="F126" s="179" t="e">
        <f t="shared" si="15"/>
        <v>#DIV/0!</v>
      </c>
      <c r="G126" s="179" t="e">
        <f t="shared" si="16"/>
        <v>#DIV/0!</v>
      </c>
      <c r="H126" s="142"/>
      <c r="I126" s="142"/>
      <c r="J126" s="142"/>
      <c r="K126" s="142"/>
    </row>
    <row r="127" spans="1:11" ht="16.2" thickBot="1" x14ac:dyDescent="0.35">
      <c r="A127" s="794" t="s">
        <v>217</v>
      </c>
      <c r="B127" s="795"/>
      <c r="C127" s="795"/>
      <c r="D127" s="172">
        <f>+SUM(D112:D126)</f>
        <v>0</v>
      </c>
      <c r="E127" s="172" t="e">
        <f>+SUM(E112:E126)</f>
        <v>#DIV/0!</v>
      </c>
      <c r="F127" s="172" t="e">
        <f>+SUM(F112:F126)</f>
        <v>#DIV/0!</v>
      </c>
      <c r="G127" s="172" t="e">
        <f>+SUM(G112:G126)</f>
        <v>#DIV/0!</v>
      </c>
      <c r="H127" s="142"/>
      <c r="I127" s="114" t="s">
        <v>288</v>
      </c>
      <c r="J127" s="167" t="e">
        <f>D127-G127-F127-E127</f>
        <v>#DIV/0!</v>
      </c>
      <c r="K127" s="142"/>
    </row>
    <row r="128" spans="1:11" ht="16.2" thickBot="1" x14ac:dyDescent="0.35">
      <c r="A128" s="150"/>
      <c r="B128" s="151"/>
      <c r="C128" s="151"/>
      <c r="D128" s="151"/>
      <c r="E128" s="152"/>
      <c r="F128" s="151"/>
      <c r="G128" s="153"/>
      <c r="H128" s="142"/>
      <c r="I128" s="142"/>
      <c r="J128" s="142"/>
      <c r="K128" s="142"/>
    </row>
    <row r="129" spans="1:11" ht="47.25" customHeight="1" x14ac:dyDescent="0.3">
      <c r="A129" s="1003" t="s">
        <v>224</v>
      </c>
      <c r="B129" s="1004"/>
      <c r="C129" s="1004"/>
      <c r="D129" s="1005"/>
      <c r="E129" s="171" t="e">
        <f>+E174</f>
        <v>#DIV/0!</v>
      </c>
      <c r="F129" s="171" t="e">
        <f>+E175</f>
        <v>#DIV/0!</v>
      </c>
      <c r="G129" s="173">
        <v>0</v>
      </c>
      <c r="H129" s="142"/>
      <c r="I129" s="142"/>
      <c r="J129" s="142"/>
      <c r="K129" s="142"/>
    </row>
    <row r="130" spans="1:11" ht="30.75" customHeight="1" thickBot="1" x14ac:dyDescent="0.35">
      <c r="A130" s="1006" t="s">
        <v>218</v>
      </c>
      <c r="B130" s="1007"/>
      <c r="C130" s="1007"/>
      <c r="D130" s="1007"/>
      <c r="E130" s="1007"/>
      <c r="F130" s="1007"/>
      <c r="G130" s="1008"/>
      <c r="H130" s="142"/>
      <c r="I130" s="142"/>
      <c r="J130" s="142"/>
      <c r="K130" s="142"/>
    </row>
    <row r="131" spans="1:11" ht="29.4" thickBot="1" x14ac:dyDescent="0.35">
      <c r="A131" s="791" t="s">
        <v>0</v>
      </c>
      <c r="B131" s="791" t="s">
        <v>1</v>
      </c>
      <c r="C131" s="792" t="s">
        <v>107</v>
      </c>
      <c r="D131" s="793" t="s">
        <v>109</v>
      </c>
      <c r="E131" s="788" t="s">
        <v>108</v>
      </c>
      <c r="F131" s="788" t="s">
        <v>21</v>
      </c>
      <c r="G131" s="787" t="s">
        <v>115</v>
      </c>
      <c r="H131" s="142"/>
      <c r="I131" s="142"/>
      <c r="J131" s="142"/>
      <c r="K131" s="142"/>
    </row>
    <row r="132" spans="1:11" x14ac:dyDescent="0.3">
      <c r="A132" s="156"/>
      <c r="B132" s="144"/>
      <c r="C132" s="144"/>
      <c r="D132" s="145"/>
      <c r="E132" s="316" t="e">
        <f t="shared" ref="E132:E139" si="17">+D132*$E$129</f>
        <v>#DIV/0!</v>
      </c>
      <c r="F132" s="179" t="e">
        <f t="shared" ref="F132:F139" si="18">+D132*$F$129</f>
        <v>#DIV/0!</v>
      </c>
      <c r="G132" s="309">
        <f t="shared" ref="G132:G139" si="19">+D132*$G$129</f>
        <v>0</v>
      </c>
      <c r="H132" s="142"/>
      <c r="I132" s="142"/>
      <c r="J132" s="142"/>
      <c r="K132" s="142"/>
    </row>
    <row r="133" spans="1:11" x14ac:dyDescent="0.3">
      <c r="A133" s="156"/>
      <c r="B133" s="144"/>
      <c r="C133" s="144"/>
      <c r="D133" s="145"/>
      <c r="E133" s="316" t="e">
        <f t="shared" si="17"/>
        <v>#DIV/0!</v>
      </c>
      <c r="F133" s="179" t="e">
        <f t="shared" si="18"/>
        <v>#DIV/0!</v>
      </c>
      <c r="G133" s="309">
        <f t="shared" si="19"/>
        <v>0</v>
      </c>
      <c r="H133" s="142"/>
      <c r="I133" s="142"/>
      <c r="J133" s="142"/>
      <c r="K133" s="142"/>
    </row>
    <row r="134" spans="1:11" x14ac:dyDescent="0.3">
      <c r="A134" s="156"/>
      <c r="B134" s="144"/>
      <c r="C134" s="144"/>
      <c r="D134" s="145"/>
      <c r="E134" s="316" t="e">
        <f t="shared" si="17"/>
        <v>#DIV/0!</v>
      </c>
      <c r="F134" s="179" t="e">
        <f t="shared" si="18"/>
        <v>#DIV/0!</v>
      </c>
      <c r="G134" s="309">
        <f t="shared" si="19"/>
        <v>0</v>
      </c>
      <c r="H134" s="142"/>
      <c r="I134" s="142"/>
      <c r="J134" s="142"/>
      <c r="K134" s="142"/>
    </row>
    <row r="135" spans="1:11" x14ac:dyDescent="0.3">
      <c r="A135" s="156"/>
      <c r="B135" s="144"/>
      <c r="C135" s="144"/>
      <c r="D135" s="145"/>
      <c r="E135" s="316" t="e">
        <f t="shared" si="17"/>
        <v>#DIV/0!</v>
      </c>
      <c r="F135" s="179" t="e">
        <f t="shared" si="18"/>
        <v>#DIV/0!</v>
      </c>
      <c r="G135" s="309">
        <f t="shared" si="19"/>
        <v>0</v>
      </c>
      <c r="H135" s="142"/>
      <c r="I135" s="142"/>
      <c r="J135" s="142"/>
      <c r="K135" s="142"/>
    </row>
    <row r="136" spans="1:11" x14ac:dyDescent="0.3">
      <c r="A136" s="156"/>
      <c r="B136" s="144"/>
      <c r="C136" s="144"/>
      <c r="D136" s="145"/>
      <c r="E136" s="316" t="e">
        <f t="shared" si="17"/>
        <v>#DIV/0!</v>
      </c>
      <c r="F136" s="179" t="e">
        <f t="shared" si="18"/>
        <v>#DIV/0!</v>
      </c>
      <c r="G136" s="309">
        <f t="shared" si="19"/>
        <v>0</v>
      </c>
      <c r="H136" s="142"/>
      <c r="I136" s="142"/>
      <c r="J136" s="142"/>
      <c r="K136" s="142"/>
    </row>
    <row r="137" spans="1:11" x14ac:dyDescent="0.3">
      <c r="A137" s="156"/>
      <c r="B137" s="144"/>
      <c r="C137" s="144"/>
      <c r="D137" s="145"/>
      <c r="E137" s="316" t="e">
        <f t="shared" si="17"/>
        <v>#DIV/0!</v>
      </c>
      <c r="F137" s="179" t="e">
        <f t="shared" si="18"/>
        <v>#DIV/0!</v>
      </c>
      <c r="G137" s="309">
        <f t="shared" si="19"/>
        <v>0</v>
      </c>
      <c r="H137" s="142"/>
      <c r="I137" s="142"/>
      <c r="J137" s="142"/>
      <c r="K137" s="142"/>
    </row>
    <row r="138" spans="1:11" x14ac:dyDescent="0.3">
      <c r="A138" s="156"/>
      <c r="B138" s="144"/>
      <c r="C138" s="144"/>
      <c r="D138" s="145"/>
      <c r="E138" s="316" t="e">
        <f t="shared" si="17"/>
        <v>#DIV/0!</v>
      </c>
      <c r="F138" s="179" t="e">
        <f t="shared" si="18"/>
        <v>#DIV/0!</v>
      </c>
      <c r="G138" s="309">
        <f t="shared" si="19"/>
        <v>0</v>
      </c>
      <c r="H138" s="142"/>
      <c r="I138" s="142"/>
      <c r="J138" s="142"/>
      <c r="K138" s="142"/>
    </row>
    <row r="139" spans="1:11" x14ac:dyDescent="0.3">
      <c r="A139" s="156"/>
      <c r="B139" s="144"/>
      <c r="C139" s="144"/>
      <c r="D139" s="145"/>
      <c r="E139" s="316" t="e">
        <f t="shared" si="17"/>
        <v>#DIV/0!</v>
      </c>
      <c r="F139" s="179" t="e">
        <f t="shared" si="18"/>
        <v>#DIV/0!</v>
      </c>
      <c r="G139" s="309">
        <f t="shared" si="19"/>
        <v>0</v>
      </c>
      <c r="H139" s="142"/>
      <c r="I139" s="142"/>
      <c r="J139" s="142"/>
      <c r="K139" s="142"/>
    </row>
    <row r="140" spans="1:11" x14ac:dyDescent="0.3">
      <c r="A140" s="156"/>
      <c r="B140" s="144"/>
      <c r="C140" s="144"/>
      <c r="D140" s="145"/>
      <c r="E140" s="316" t="e">
        <f t="shared" ref="E140:E143" si="20">+D140*$E$129</f>
        <v>#DIV/0!</v>
      </c>
      <c r="F140" s="179" t="e">
        <f t="shared" ref="F140:F143" si="21">+D140*$F$129</f>
        <v>#DIV/0!</v>
      </c>
      <c r="G140" s="309">
        <f t="shared" ref="G140:G143" si="22">+D140*$G$129</f>
        <v>0</v>
      </c>
      <c r="H140" s="142"/>
      <c r="I140" s="142"/>
      <c r="J140" s="142"/>
      <c r="K140" s="142"/>
    </row>
    <row r="141" spans="1:11" x14ac:dyDescent="0.3">
      <c r="A141" s="156"/>
      <c r="B141" s="144"/>
      <c r="C141" s="144"/>
      <c r="D141" s="145"/>
      <c r="E141" s="316" t="e">
        <f t="shared" si="20"/>
        <v>#DIV/0!</v>
      </c>
      <c r="F141" s="179" t="e">
        <f t="shared" si="21"/>
        <v>#DIV/0!</v>
      </c>
      <c r="G141" s="309">
        <f t="shared" si="22"/>
        <v>0</v>
      </c>
      <c r="H141" s="142"/>
      <c r="I141" s="142"/>
      <c r="J141" s="142"/>
      <c r="K141" s="142"/>
    </row>
    <row r="142" spans="1:11" x14ac:dyDescent="0.3">
      <c r="A142" s="156"/>
      <c r="B142" s="144"/>
      <c r="C142" s="144"/>
      <c r="D142" s="145"/>
      <c r="E142" s="316" t="e">
        <f t="shared" si="20"/>
        <v>#DIV/0!</v>
      </c>
      <c r="F142" s="179" t="e">
        <f t="shared" si="21"/>
        <v>#DIV/0!</v>
      </c>
      <c r="G142" s="309">
        <f t="shared" si="22"/>
        <v>0</v>
      </c>
      <c r="H142" s="142"/>
      <c r="I142" s="142"/>
      <c r="J142" s="142"/>
      <c r="K142" s="142"/>
    </row>
    <row r="143" spans="1:11" x14ac:dyDescent="0.3">
      <c r="A143" s="156"/>
      <c r="B143" s="144"/>
      <c r="C143" s="144"/>
      <c r="D143" s="145"/>
      <c r="E143" s="316" t="e">
        <f t="shared" si="20"/>
        <v>#DIV/0!</v>
      </c>
      <c r="F143" s="179" t="e">
        <f t="shared" si="21"/>
        <v>#DIV/0!</v>
      </c>
      <c r="G143" s="309">
        <f t="shared" si="22"/>
        <v>0</v>
      </c>
      <c r="H143" s="142"/>
      <c r="I143" s="142"/>
      <c r="J143" s="142"/>
      <c r="K143" s="142"/>
    </row>
    <row r="144" spans="1:11" x14ac:dyDescent="0.3">
      <c r="A144" s="156"/>
      <c r="B144" s="144"/>
      <c r="C144" s="144"/>
      <c r="D144" s="145"/>
      <c r="E144" s="316" t="e">
        <f>+D144*$E$129</f>
        <v>#DIV/0!</v>
      </c>
      <c r="F144" s="179" t="e">
        <f>+D144*$F$129</f>
        <v>#DIV/0!</v>
      </c>
      <c r="G144" s="309">
        <f>+D144*$G$129</f>
        <v>0</v>
      </c>
      <c r="H144" s="142"/>
      <c r="I144" s="142"/>
      <c r="J144" s="142"/>
      <c r="K144" s="142"/>
    </row>
    <row r="145" spans="1:11" ht="15.6" x14ac:dyDescent="0.3">
      <c r="A145" s="157"/>
      <c r="B145" s="144"/>
      <c r="C145" s="144"/>
      <c r="D145" s="145"/>
      <c r="E145" s="316" t="e">
        <f>+D145*$E$129</f>
        <v>#DIV/0!</v>
      </c>
      <c r="F145" s="179" t="e">
        <f>+D145*$F$129</f>
        <v>#DIV/0!</v>
      </c>
      <c r="G145" s="309">
        <f>+D145*$G$129</f>
        <v>0</v>
      </c>
      <c r="H145" s="142"/>
      <c r="I145" s="142"/>
      <c r="J145" s="142"/>
      <c r="K145" s="142"/>
    </row>
    <row r="146" spans="1:11" ht="16.2" thickBot="1" x14ac:dyDescent="0.35">
      <c r="A146" s="157"/>
      <c r="B146" s="144"/>
      <c r="C146" s="144"/>
      <c r="D146" s="145"/>
      <c r="E146" s="317" t="e">
        <f>+D146*$E$129</f>
        <v>#DIV/0!</v>
      </c>
      <c r="F146" s="318" t="e">
        <f>+D146*$F$129</f>
        <v>#DIV/0!</v>
      </c>
      <c r="G146" s="313">
        <f>+D146*$G$129</f>
        <v>0</v>
      </c>
      <c r="H146" s="142"/>
      <c r="I146" s="142"/>
      <c r="J146" s="142"/>
      <c r="K146" s="142"/>
    </row>
    <row r="147" spans="1:11" ht="16.2" thickBot="1" x14ac:dyDescent="0.35">
      <c r="A147" s="794" t="s">
        <v>181</v>
      </c>
      <c r="B147" s="795"/>
      <c r="C147" s="795"/>
      <c r="D147" s="172">
        <f>+SUM(D132:D146)</f>
        <v>0</v>
      </c>
      <c r="E147" s="172" t="e">
        <f>+SUM(E132:E146)</f>
        <v>#DIV/0!</v>
      </c>
      <c r="F147" s="172" t="e">
        <f>+SUM(F132:F146)</f>
        <v>#DIV/0!</v>
      </c>
      <c r="G147" s="166">
        <f>+SUM(G132:G146)</f>
        <v>0</v>
      </c>
      <c r="H147" s="142"/>
      <c r="I147" s="114" t="s">
        <v>288</v>
      </c>
      <c r="J147" s="167" t="e">
        <f>D147-G147-F147-E147</f>
        <v>#DIV/0!</v>
      </c>
      <c r="K147" s="142"/>
    </row>
    <row r="148" spans="1:11" ht="16.2" thickBot="1" x14ac:dyDescent="0.35">
      <c r="A148" s="150"/>
      <c r="B148" s="151"/>
      <c r="C148" s="151"/>
      <c r="D148" s="151"/>
      <c r="E148" s="152"/>
      <c r="F148" s="151"/>
      <c r="G148" s="153"/>
      <c r="H148" s="142"/>
      <c r="I148" s="142"/>
      <c r="J148" s="142"/>
      <c r="K148" s="142"/>
    </row>
    <row r="149" spans="1:11" ht="16.2" thickBot="1" x14ac:dyDescent="0.35">
      <c r="A149" s="794" t="s">
        <v>111</v>
      </c>
      <c r="B149" s="795"/>
      <c r="C149" s="795"/>
      <c r="D149" s="172">
        <f>+D147+D107+D91+D66+D127</f>
        <v>0</v>
      </c>
      <c r="E149" s="172" t="e">
        <f>+E147+E107+E91+E66+E127</f>
        <v>#DIV/0!</v>
      </c>
      <c r="F149" s="172" t="e">
        <f>+F147+F107+F91+F66+F127</f>
        <v>#DIV/0!</v>
      </c>
      <c r="G149" s="172" t="e">
        <f>+G147+G107+G91+G66+G127</f>
        <v>#DIV/0!</v>
      </c>
      <c r="H149" s="142"/>
      <c r="I149" s="114" t="s">
        <v>288</v>
      </c>
      <c r="J149" s="167" t="e">
        <f>D149-G149-F149-E149</f>
        <v>#DIV/0!</v>
      </c>
      <c r="K149" s="142"/>
    </row>
    <row r="150" spans="1:11" ht="16.2" thickBot="1" x14ac:dyDescent="0.35">
      <c r="A150" s="150"/>
      <c r="B150" s="151"/>
      <c r="C150" s="151"/>
      <c r="D150" s="151"/>
      <c r="E150" s="152"/>
      <c r="F150" s="151"/>
      <c r="G150" s="153"/>
      <c r="H150" s="142"/>
      <c r="I150" s="142"/>
      <c r="J150" s="142"/>
      <c r="K150" s="142"/>
    </row>
    <row r="151" spans="1:11" ht="18.600000000000001" thickBot="1" x14ac:dyDescent="0.4">
      <c r="A151" s="796" t="s">
        <v>113</v>
      </c>
      <c r="B151" s="797"/>
      <c r="C151" s="797"/>
      <c r="D151" s="798"/>
      <c r="E151" s="799" t="s">
        <v>114</v>
      </c>
      <c r="F151" s="799" t="s">
        <v>226</v>
      </c>
      <c r="G151" s="7"/>
      <c r="H151" s="142"/>
      <c r="I151" s="142"/>
      <c r="J151" s="142"/>
      <c r="K151" s="142"/>
    </row>
    <row r="152" spans="1:11" x14ac:dyDescent="0.3">
      <c r="A152" s="800" t="s">
        <v>2</v>
      </c>
      <c r="B152" s="801"/>
      <c r="C152" s="801"/>
      <c r="D152" s="174">
        <f>+D149</f>
        <v>0</v>
      </c>
      <c r="E152" s="175" t="e">
        <f>D152/D149</f>
        <v>#DIV/0!</v>
      </c>
      <c r="F152" s="174"/>
      <c r="G152" s="7" t="s">
        <v>219</v>
      </c>
      <c r="H152" s="142"/>
      <c r="I152" s="142"/>
      <c r="J152" s="142"/>
      <c r="K152" s="142"/>
    </row>
    <row r="153" spans="1:11" x14ac:dyDescent="0.3">
      <c r="A153" s="31"/>
      <c r="B153" s="3"/>
      <c r="C153" s="3"/>
      <c r="D153" s="176"/>
      <c r="E153" s="802"/>
      <c r="F153" s="176"/>
      <c r="G153" s="7" t="s">
        <v>220</v>
      </c>
      <c r="H153" s="142"/>
      <c r="I153" s="142"/>
      <c r="J153" s="142"/>
      <c r="K153" s="142"/>
    </row>
    <row r="154" spans="1:11" x14ac:dyDescent="0.3">
      <c r="A154" s="31" t="s">
        <v>331</v>
      </c>
      <c r="B154" s="3"/>
      <c r="C154" s="3"/>
      <c r="D154" s="176">
        <f>D66</f>
        <v>0</v>
      </c>
      <c r="E154" s="177" t="e">
        <f>D154/D157</f>
        <v>#DIV/0!</v>
      </c>
      <c r="F154" s="176" t="e">
        <f>D154/Stammdaten!B7</f>
        <v>#DIV/0!</v>
      </c>
      <c r="G154" s="178" t="e">
        <f>D154/(D154+D155)</f>
        <v>#DIV/0!</v>
      </c>
      <c r="H154" s="142"/>
      <c r="I154" s="142"/>
      <c r="J154" s="142"/>
      <c r="K154" s="142"/>
    </row>
    <row r="155" spans="1:11" x14ac:dyDescent="0.3">
      <c r="A155" s="31" t="s">
        <v>3</v>
      </c>
      <c r="B155" s="3"/>
      <c r="C155" s="3"/>
      <c r="D155" s="176">
        <f>D91</f>
        <v>0</v>
      </c>
      <c r="E155" s="177" t="e">
        <f>D155/D157</f>
        <v>#DIV/0!</v>
      </c>
      <c r="F155" s="176" t="e">
        <f>D155/Stammdaten!B7</f>
        <v>#DIV/0!</v>
      </c>
      <c r="G155" s="178" t="e">
        <f>D155/(D155+D154)</f>
        <v>#DIV/0!</v>
      </c>
      <c r="H155" s="142"/>
      <c r="I155" s="142"/>
      <c r="J155" s="142"/>
      <c r="K155" s="142"/>
    </row>
    <row r="156" spans="1:11" x14ac:dyDescent="0.3">
      <c r="A156" s="582" t="s">
        <v>54</v>
      </c>
      <c r="B156" s="621"/>
      <c r="C156" s="621"/>
      <c r="D156" s="179">
        <f>D107</f>
        <v>0</v>
      </c>
      <c r="E156" s="180" t="e">
        <f>D156/D157</f>
        <v>#DIV/0!</v>
      </c>
      <c r="F156" s="803"/>
      <c r="G156" s="7"/>
      <c r="H156" s="142"/>
      <c r="I156" s="142"/>
      <c r="J156" s="142"/>
      <c r="K156" s="142"/>
    </row>
    <row r="157" spans="1:11" x14ac:dyDescent="0.3">
      <c r="A157" s="31" t="s">
        <v>112</v>
      </c>
      <c r="B157" s="3"/>
      <c r="C157" s="3"/>
      <c r="D157" s="176">
        <f>D155+D154+D156</f>
        <v>0</v>
      </c>
      <c r="E157" s="177" t="e">
        <f>SUM(E154:E156)</f>
        <v>#DIV/0!</v>
      </c>
      <c r="F157" s="804"/>
      <c r="G157" s="7"/>
      <c r="H157" s="142"/>
      <c r="I157" s="142"/>
      <c r="J157" s="142"/>
      <c r="K157" s="142"/>
    </row>
    <row r="158" spans="1:11" x14ac:dyDescent="0.3">
      <c r="A158" s="31"/>
      <c r="B158" s="3"/>
      <c r="C158" s="3"/>
      <c r="D158" s="176"/>
      <c r="E158" s="804"/>
      <c r="F158" s="804"/>
      <c r="G158" s="7"/>
      <c r="H158" s="142"/>
      <c r="I158" s="142"/>
      <c r="J158" s="142"/>
      <c r="K158" s="142"/>
    </row>
    <row r="159" spans="1:11" x14ac:dyDescent="0.3">
      <c r="A159" s="31" t="s">
        <v>221</v>
      </c>
      <c r="B159" s="3"/>
      <c r="C159" s="3"/>
      <c r="D159" s="176">
        <f>D127</f>
        <v>0</v>
      </c>
      <c r="E159" s="804"/>
      <c r="F159" s="804"/>
      <c r="G159" s="7"/>
      <c r="H159" s="142"/>
      <c r="I159" s="142"/>
      <c r="J159" s="142"/>
      <c r="K159" s="142"/>
    </row>
    <row r="160" spans="1:11" x14ac:dyDescent="0.3">
      <c r="A160" s="31" t="s">
        <v>4</v>
      </c>
      <c r="B160" s="3" t="s">
        <v>332</v>
      </c>
      <c r="C160" s="3"/>
      <c r="D160" s="176" t="e">
        <f>D159*E160</f>
        <v>#DIV/0!</v>
      </c>
      <c r="E160" s="177" t="e">
        <f>+E154</f>
        <v>#DIV/0!</v>
      </c>
      <c r="F160" s="176" t="e">
        <f>D160/Stammdaten!B7</f>
        <v>#DIV/0!</v>
      </c>
      <c r="G160" s="7"/>
      <c r="H160" s="142"/>
      <c r="I160" s="142"/>
      <c r="J160" s="142"/>
      <c r="K160" s="142"/>
    </row>
    <row r="161" spans="1:11" x14ac:dyDescent="0.3">
      <c r="A161" s="31"/>
      <c r="B161" s="3" t="s">
        <v>104</v>
      </c>
      <c r="C161" s="3"/>
      <c r="D161" s="176" t="e">
        <f>D159*E161</f>
        <v>#DIV/0!</v>
      </c>
      <c r="E161" s="177" t="e">
        <f>+E155</f>
        <v>#DIV/0!</v>
      </c>
      <c r="F161" s="176" t="e">
        <f>D161/Stammdaten!B7</f>
        <v>#DIV/0!</v>
      </c>
      <c r="G161" s="7"/>
      <c r="H161" s="142"/>
      <c r="I161" s="142"/>
      <c r="J161" s="142"/>
      <c r="K161" s="142"/>
    </row>
    <row r="162" spans="1:11" x14ac:dyDescent="0.3">
      <c r="A162" s="31"/>
      <c r="B162" s="3" t="s">
        <v>55</v>
      </c>
      <c r="C162" s="3"/>
      <c r="D162" s="176" t="e">
        <f>D159*E162</f>
        <v>#DIV/0!</v>
      </c>
      <c r="E162" s="177" t="e">
        <f>+E156</f>
        <v>#DIV/0!</v>
      </c>
      <c r="F162" s="176"/>
      <c r="G162" s="7"/>
      <c r="H162" s="142"/>
      <c r="I162" s="142"/>
      <c r="J162" s="142"/>
      <c r="K162" s="142"/>
    </row>
    <row r="163" spans="1:11" x14ac:dyDescent="0.3">
      <c r="A163" s="31"/>
      <c r="B163" s="3"/>
      <c r="C163" s="3"/>
      <c r="D163" s="176"/>
      <c r="E163" s="177"/>
      <c r="F163" s="176"/>
      <c r="G163" s="7"/>
      <c r="H163" s="142"/>
      <c r="I163" s="149"/>
      <c r="J163" s="158"/>
      <c r="K163" s="837"/>
    </row>
    <row r="164" spans="1:11" x14ac:dyDescent="0.3">
      <c r="A164" s="31" t="s">
        <v>222</v>
      </c>
      <c r="B164" s="3"/>
      <c r="C164" s="3"/>
      <c r="D164" s="176">
        <f>D147</f>
        <v>0</v>
      </c>
      <c r="E164" s="804"/>
      <c r="F164" s="804"/>
      <c r="G164" s="7"/>
      <c r="H164" s="142"/>
      <c r="I164" s="149"/>
      <c r="J164" s="158"/>
      <c r="K164" s="837"/>
    </row>
    <row r="165" spans="1:11" x14ac:dyDescent="0.3">
      <c r="A165" s="31" t="s">
        <v>4</v>
      </c>
      <c r="B165" s="3" t="s">
        <v>332</v>
      </c>
      <c r="C165" s="3"/>
      <c r="D165" s="176" t="e">
        <f>D164*E165</f>
        <v>#DIV/0!</v>
      </c>
      <c r="E165" s="177" t="e">
        <f>+G154</f>
        <v>#DIV/0!</v>
      </c>
      <c r="F165" s="176" t="e">
        <f>D165/Stammdaten!B7</f>
        <v>#DIV/0!</v>
      </c>
      <c r="G165" s="7"/>
      <c r="H165" s="142"/>
      <c r="I165" s="149"/>
      <c r="J165" s="158"/>
      <c r="K165" s="142"/>
    </row>
    <row r="166" spans="1:11" x14ac:dyDescent="0.3">
      <c r="A166" s="31"/>
      <c r="B166" s="3" t="s">
        <v>104</v>
      </c>
      <c r="C166" s="3"/>
      <c r="D166" s="176" t="e">
        <f>D164*E166</f>
        <v>#DIV/0!</v>
      </c>
      <c r="E166" s="177" t="e">
        <f>+G155</f>
        <v>#DIV/0!</v>
      </c>
      <c r="F166" s="176" t="e">
        <f>D166/Stammdaten!B7</f>
        <v>#DIV/0!</v>
      </c>
      <c r="G166" s="7"/>
      <c r="H166" s="142"/>
      <c r="I166" s="114" t="s">
        <v>288</v>
      </c>
      <c r="J166" s="167" t="e">
        <f>D152-D157-D162-D160-D161-D165-D166</f>
        <v>#DIV/0!</v>
      </c>
      <c r="K166" s="142"/>
    </row>
    <row r="167" spans="1:11" ht="15" thickBot="1" x14ac:dyDescent="0.35">
      <c r="A167" s="31"/>
      <c r="B167" s="3"/>
      <c r="C167" s="3"/>
      <c r="D167" s="176"/>
      <c r="E167" s="804"/>
      <c r="F167" s="804"/>
      <c r="G167" s="7"/>
      <c r="H167" s="142"/>
      <c r="I167" s="142"/>
      <c r="J167" s="142"/>
      <c r="K167" s="142"/>
    </row>
    <row r="168" spans="1:11" ht="18.600000000000001" thickBot="1" x14ac:dyDescent="0.4">
      <c r="A168" s="805" t="s">
        <v>7</v>
      </c>
      <c r="B168" s="806"/>
      <c r="C168" s="806"/>
      <c r="D168" s="807"/>
      <c r="E168" s="808" t="s">
        <v>114</v>
      </c>
      <c r="F168" s="808"/>
      <c r="G168" s="7"/>
      <c r="H168" s="142"/>
      <c r="I168" s="142"/>
      <c r="J168" s="142"/>
      <c r="K168" s="142"/>
    </row>
    <row r="169" spans="1:11" ht="18.600000000000001" thickBot="1" x14ac:dyDescent="0.4">
      <c r="A169" s="42"/>
      <c r="B169" s="809"/>
      <c r="C169" s="810" t="s">
        <v>332</v>
      </c>
      <c r="D169" s="181" t="e">
        <f>D154+D160+D165</f>
        <v>#DIV/0!</v>
      </c>
      <c r="E169" s="526" t="e">
        <f>D169/D172</f>
        <v>#DIV/0!</v>
      </c>
      <c r="F169" s="811"/>
      <c r="G169" s="7"/>
      <c r="H169" s="142"/>
      <c r="I169" s="114" t="s">
        <v>288</v>
      </c>
      <c r="J169" s="167" t="e">
        <f>D169-E149</f>
        <v>#DIV/0!</v>
      </c>
      <c r="K169" s="142"/>
    </row>
    <row r="170" spans="1:11" ht="18.600000000000001" thickBot="1" x14ac:dyDescent="0.4">
      <c r="A170" s="42"/>
      <c r="B170" s="809"/>
      <c r="C170" s="810" t="s">
        <v>104</v>
      </c>
      <c r="D170" s="181" t="e">
        <f>D155+D161+D166</f>
        <v>#DIV/0!</v>
      </c>
      <c r="E170" s="526" t="e">
        <f>D170/D172</f>
        <v>#DIV/0!</v>
      </c>
      <c r="F170" s="811"/>
      <c r="G170" s="7"/>
      <c r="H170" s="142"/>
      <c r="I170" s="114" t="s">
        <v>288</v>
      </c>
      <c r="J170" s="167" t="e">
        <f>D170-F149</f>
        <v>#DIV/0!</v>
      </c>
      <c r="K170" s="142"/>
    </row>
    <row r="171" spans="1:11" ht="18.600000000000001" thickBot="1" x14ac:dyDescent="0.4">
      <c r="A171" s="812"/>
      <c r="B171" s="41"/>
      <c r="C171" s="813" t="s">
        <v>55</v>
      </c>
      <c r="D171" s="182" t="e">
        <f>D162+D156</f>
        <v>#DIV/0!</v>
      </c>
      <c r="E171" s="526" t="e">
        <f>D171/D172</f>
        <v>#DIV/0!</v>
      </c>
      <c r="F171" s="814"/>
      <c r="G171" s="7"/>
      <c r="H171" s="142"/>
      <c r="I171" s="114" t="s">
        <v>288</v>
      </c>
      <c r="J171" s="167" t="e">
        <f>D171-G149</f>
        <v>#DIV/0!</v>
      </c>
      <c r="K171" s="142"/>
    </row>
    <row r="172" spans="1:11" ht="18.600000000000001" thickBot="1" x14ac:dyDescent="0.4">
      <c r="A172" s="42"/>
      <c r="B172" s="815"/>
      <c r="C172" s="815"/>
      <c r="D172" s="183" t="e">
        <f>SUM(D169:D171)</f>
        <v>#DIV/0!</v>
      </c>
      <c r="E172" s="184" t="e">
        <f>SUM(E169:E171)</f>
        <v>#DIV/0!</v>
      </c>
      <c r="F172" s="811"/>
      <c r="G172" s="7"/>
      <c r="H172" s="142"/>
      <c r="I172" s="114" t="s">
        <v>288</v>
      </c>
      <c r="J172" s="167" t="e">
        <f>D152-D172</f>
        <v>#DIV/0!</v>
      </c>
      <c r="K172" s="142"/>
    </row>
    <row r="173" spans="1:11" ht="18.600000000000001" thickBot="1" x14ac:dyDescent="0.4">
      <c r="A173" s="805" t="s">
        <v>56</v>
      </c>
      <c r="B173" s="806"/>
      <c r="C173" s="806"/>
      <c r="D173" s="816"/>
      <c r="E173" s="808" t="s">
        <v>114</v>
      </c>
      <c r="F173" s="808" t="s">
        <v>226</v>
      </c>
      <c r="G173" s="7"/>
      <c r="H173" s="142"/>
      <c r="I173" s="142"/>
      <c r="J173" s="142"/>
      <c r="K173" s="142"/>
    </row>
    <row r="174" spans="1:11" ht="26.4" thickBot="1" x14ac:dyDescent="0.55000000000000004">
      <c r="A174" s="817"/>
      <c r="B174" s="809"/>
      <c r="C174" s="810" t="s">
        <v>332</v>
      </c>
      <c r="D174" s="185" t="e">
        <f>D154+D160+D165</f>
        <v>#DIV/0!</v>
      </c>
      <c r="E174" s="186" t="e">
        <f>D174/D176</f>
        <v>#DIV/0!</v>
      </c>
      <c r="F174" s="183" t="e">
        <f>D174/Stammdaten!B7</f>
        <v>#DIV/0!</v>
      </c>
      <c r="G174" s="7"/>
      <c r="H174" s="142"/>
      <c r="I174" s="114" t="s">
        <v>288</v>
      </c>
      <c r="J174" s="167" t="e">
        <f>D174-E149</f>
        <v>#DIV/0!</v>
      </c>
      <c r="K174" s="142"/>
    </row>
    <row r="175" spans="1:11" ht="26.4" thickBot="1" x14ac:dyDescent="0.55000000000000004">
      <c r="A175" s="812"/>
      <c r="B175" s="41"/>
      <c r="C175" s="818" t="s">
        <v>8</v>
      </c>
      <c r="D175" s="185" t="e">
        <f>D161+D155+D166</f>
        <v>#DIV/0!</v>
      </c>
      <c r="E175" s="186" t="e">
        <f>D175/D176</f>
        <v>#DIV/0!</v>
      </c>
      <c r="F175" s="182" t="e">
        <f>D175/Stammdaten!B7</f>
        <v>#DIV/0!</v>
      </c>
      <c r="G175" s="7"/>
      <c r="H175" s="142"/>
      <c r="I175" s="114" t="s">
        <v>288</v>
      </c>
      <c r="J175" s="167" t="e">
        <f>D175-F149</f>
        <v>#DIV/0!</v>
      </c>
      <c r="K175" s="142"/>
    </row>
    <row r="176" spans="1:11" x14ac:dyDescent="0.3">
      <c r="A176" s="812"/>
      <c r="B176" s="819"/>
      <c r="C176" s="819"/>
      <c r="D176" s="182" t="e">
        <f>D175+D174</f>
        <v>#DIV/0!</v>
      </c>
      <c r="E176" s="820" t="e">
        <f>+SUM(E174:E175)</f>
        <v>#DIV/0!</v>
      </c>
      <c r="F176" s="182" t="e">
        <f>F175+F174</f>
        <v>#DIV/0!</v>
      </c>
      <c r="G176" s="749"/>
      <c r="H176" s="142"/>
      <c r="I176" s="114" t="s">
        <v>288</v>
      </c>
      <c r="J176" s="167" t="e">
        <f>D176-D154-D160-D155-D161-D165-D166</f>
        <v>#DIV/0!</v>
      </c>
      <c r="K176" s="142"/>
    </row>
    <row r="177" spans="1:11" x14ac:dyDescent="0.3">
      <c r="A177" s="160"/>
      <c r="B177" s="160"/>
      <c r="C177" s="160"/>
      <c r="D177" s="160"/>
      <c r="E177" s="160"/>
      <c r="F177" s="160"/>
      <c r="G177" s="142"/>
      <c r="H177" s="142"/>
      <c r="I177" s="142"/>
      <c r="J177" s="142"/>
      <c r="K177" s="142"/>
    </row>
    <row r="178" spans="1:11" x14ac:dyDescent="0.3">
      <c r="A178" s="821" t="s">
        <v>273</v>
      </c>
      <c r="B178" s="822"/>
      <c r="C178" s="822"/>
      <c r="D178" s="822"/>
      <c r="E178" s="822"/>
      <c r="F178" s="822"/>
      <c r="G178" s="823"/>
      <c r="H178" s="161"/>
      <c r="I178" s="161"/>
      <c r="J178" s="161"/>
      <c r="K178" s="142"/>
    </row>
    <row r="179" spans="1:11" x14ac:dyDescent="0.3">
      <c r="A179" s="824" t="s">
        <v>190</v>
      </c>
      <c r="B179" s="825"/>
      <c r="C179" s="825"/>
      <c r="D179" s="825"/>
      <c r="E179" s="825"/>
      <c r="F179" s="825"/>
      <c r="G179" s="826"/>
      <c r="H179" s="161"/>
      <c r="I179" s="161"/>
      <c r="J179" s="161"/>
      <c r="K179" s="142"/>
    </row>
    <row r="180" spans="1:11" x14ac:dyDescent="0.3">
      <c r="A180" s="824" t="s">
        <v>333</v>
      </c>
      <c r="B180" s="825"/>
      <c r="C180" s="825"/>
      <c r="D180" s="825"/>
      <c r="E180" s="825"/>
      <c r="F180" s="825"/>
      <c r="G180" s="826"/>
      <c r="H180" s="161"/>
      <c r="I180" s="161"/>
      <c r="J180" s="161"/>
      <c r="K180" s="142"/>
    </row>
    <row r="181" spans="1:11" x14ac:dyDescent="0.3">
      <c r="A181" s="824" t="s">
        <v>182</v>
      </c>
      <c r="B181" s="825"/>
      <c r="C181" s="825"/>
      <c r="D181" s="825"/>
      <c r="E181" s="825"/>
      <c r="F181" s="825"/>
      <c r="G181" s="826"/>
      <c r="H181" s="161"/>
      <c r="I181" s="161"/>
      <c r="J181" s="161"/>
      <c r="K181" s="142"/>
    </row>
    <row r="182" spans="1:11" x14ac:dyDescent="0.3">
      <c r="A182" s="824" t="s">
        <v>183</v>
      </c>
      <c r="B182" s="825"/>
      <c r="C182" s="825"/>
      <c r="D182" s="825"/>
      <c r="E182" s="825"/>
      <c r="F182" s="825"/>
      <c r="G182" s="826"/>
      <c r="H182" s="161"/>
      <c r="I182" s="161"/>
      <c r="J182" s="161"/>
      <c r="K182" s="142"/>
    </row>
    <row r="183" spans="1:11" ht="43.2" x14ac:dyDescent="0.3">
      <c r="A183" s="824"/>
      <c r="B183" s="825"/>
      <c r="C183" s="825"/>
      <c r="D183" s="825"/>
      <c r="E183" s="827" t="s">
        <v>184</v>
      </c>
      <c r="F183" s="827" t="s">
        <v>185</v>
      </c>
      <c r="G183" s="826"/>
      <c r="H183" s="161"/>
      <c r="I183" s="161"/>
      <c r="J183" s="161"/>
      <c r="K183" s="142"/>
    </row>
    <row r="184" spans="1:11" x14ac:dyDescent="0.3">
      <c r="A184" s="824" t="s">
        <v>186</v>
      </c>
      <c r="B184" s="825"/>
      <c r="C184" s="825"/>
      <c r="D184" s="187">
        <f>D66</f>
        <v>0</v>
      </c>
      <c r="E184" s="188" t="e">
        <f>D184/D192</f>
        <v>#DIV/0!</v>
      </c>
      <c r="F184" s="188" t="e">
        <f>D184/D186</f>
        <v>#DIV/0!</v>
      </c>
      <c r="G184" s="826"/>
      <c r="H184" s="161"/>
      <c r="I184" s="162"/>
      <c r="J184" s="162"/>
      <c r="K184" s="142"/>
    </row>
    <row r="185" spans="1:11" x14ac:dyDescent="0.3">
      <c r="A185" s="828" t="s">
        <v>187</v>
      </c>
      <c r="B185" s="829"/>
      <c r="C185" s="829"/>
      <c r="D185" s="189" t="e">
        <f>D160+D165</f>
        <v>#DIV/0!</v>
      </c>
      <c r="E185" s="190" t="e">
        <f>D185/D192</f>
        <v>#DIV/0!</v>
      </c>
      <c r="F185" s="190" t="e">
        <f>D185/D186</f>
        <v>#DIV/0!</v>
      </c>
      <c r="G185" s="826"/>
      <c r="H185" s="161"/>
      <c r="I185" s="161"/>
      <c r="J185" s="162"/>
      <c r="K185" s="142"/>
    </row>
    <row r="186" spans="1:11" x14ac:dyDescent="0.3">
      <c r="A186" s="824"/>
      <c r="B186" s="825"/>
      <c r="C186" s="825"/>
      <c r="D186" s="187" t="e">
        <f>SUM(D184:D185)</f>
        <v>#DIV/0!</v>
      </c>
      <c r="E186" s="191" t="e">
        <f>SUM(E184:E185)</f>
        <v>#DIV/0!</v>
      </c>
      <c r="F186" s="191" t="e">
        <f>SUM(F184:F185)</f>
        <v>#DIV/0!</v>
      </c>
      <c r="G186" s="826"/>
      <c r="H186" s="161"/>
      <c r="I186" s="161"/>
      <c r="J186" s="162"/>
      <c r="K186" s="142"/>
    </row>
    <row r="187" spans="1:11" x14ac:dyDescent="0.3">
      <c r="A187" s="824"/>
      <c r="B187" s="825"/>
      <c r="C187" s="825"/>
      <c r="D187" s="187"/>
      <c r="E187" s="830"/>
      <c r="F187" s="831"/>
      <c r="G187" s="826"/>
      <c r="H187" s="161"/>
      <c r="I187" s="161"/>
      <c r="J187" s="161"/>
      <c r="K187" s="142"/>
    </row>
    <row r="188" spans="1:11" x14ac:dyDescent="0.3">
      <c r="A188" s="824" t="s">
        <v>8</v>
      </c>
      <c r="B188" s="825"/>
      <c r="C188" s="825"/>
      <c r="D188" s="187">
        <f>D91</f>
        <v>0</v>
      </c>
      <c r="E188" s="830"/>
      <c r="F188" s="831"/>
      <c r="G188" s="826"/>
      <c r="H188" s="161"/>
      <c r="I188" s="161"/>
      <c r="J188" s="161"/>
      <c r="K188" s="142"/>
    </row>
    <row r="189" spans="1:11" x14ac:dyDescent="0.3">
      <c r="A189" s="828" t="s">
        <v>188</v>
      </c>
      <c r="B189" s="829"/>
      <c r="C189" s="829"/>
      <c r="D189" s="189" t="e">
        <f>D161+D166</f>
        <v>#DIV/0!</v>
      </c>
      <c r="E189" s="830"/>
      <c r="F189" s="831"/>
      <c r="G189" s="826"/>
      <c r="H189" s="161"/>
      <c r="I189" s="142"/>
      <c r="J189" s="142"/>
      <c r="K189" s="142"/>
    </row>
    <row r="190" spans="1:11" x14ac:dyDescent="0.3">
      <c r="A190" s="824"/>
      <c r="B190" s="825"/>
      <c r="C190" s="825"/>
      <c r="D190" s="187" t="e">
        <f>SUM(D188:D189)</f>
        <v>#DIV/0!</v>
      </c>
      <c r="E190" s="192" t="e">
        <f>D190/D192</f>
        <v>#DIV/0!</v>
      </c>
      <c r="F190" s="193" t="s">
        <v>189</v>
      </c>
      <c r="G190" s="826"/>
      <c r="H190" s="161"/>
      <c r="I190" s="548" t="s">
        <v>288</v>
      </c>
      <c r="J190" s="194" t="e">
        <f>D190+D186-D169-D170</f>
        <v>#DIV/0!</v>
      </c>
      <c r="K190" s="142"/>
    </row>
    <row r="191" spans="1:11" ht="15" thickBot="1" x14ac:dyDescent="0.35">
      <c r="A191" s="832"/>
      <c r="B191" s="833"/>
      <c r="C191" s="833"/>
      <c r="D191" s="834"/>
      <c r="E191" s="831"/>
      <c r="F191" s="831"/>
      <c r="G191" s="826"/>
      <c r="H191" s="161"/>
      <c r="I191" s="161"/>
      <c r="J191" s="161"/>
      <c r="K191" s="142"/>
    </row>
    <row r="192" spans="1:11" ht="15" thickTop="1" x14ac:dyDescent="0.3">
      <c r="A192" s="828"/>
      <c r="B192" s="829"/>
      <c r="C192" s="829"/>
      <c r="D192" s="189" t="e">
        <f>D190+D186</f>
        <v>#DIV/0!</v>
      </c>
      <c r="E192" s="835"/>
      <c r="F192" s="835"/>
      <c r="G192" s="836"/>
      <c r="H192" s="161"/>
      <c r="I192" s="161"/>
      <c r="J192" s="161"/>
      <c r="K192" s="142"/>
    </row>
  </sheetData>
  <sheetProtection sheet="1" objects="1" scenarios="1"/>
  <mergeCells count="5">
    <mergeCell ref="A5:G5"/>
    <mergeCell ref="A109:D109"/>
    <mergeCell ref="A110:G110"/>
    <mergeCell ref="A129:D129"/>
    <mergeCell ref="A130:G130"/>
  </mergeCells>
  <conditionalFormatting sqref="J166">
    <cfRule type="expression" dxfId="117" priority="24">
      <formula>$J$166=""</formula>
    </cfRule>
    <cfRule type="expression" dxfId="116" priority="40">
      <formula>OR(J166&lt;-0.0009,J166&gt;0.0009)</formula>
    </cfRule>
  </conditionalFormatting>
  <conditionalFormatting sqref="J169:J172">
    <cfRule type="expression" dxfId="115" priority="20">
      <formula>$J$166=""</formula>
    </cfRule>
    <cfRule type="expression" dxfId="114" priority="21">
      <formula>OR(J169&lt;-0.0009,J169&gt;0.0009)</formula>
    </cfRule>
  </conditionalFormatting>
  <conditionalFormatting sqref="J174">
    <cfRule type="expression" dxfId="113" priority="18">
      <formula>$J$166=""</formula>
    </cfRule>
    <cfRule type="expression" dxfId="112" priority="19">
      <formula>OR(J174&lt;-0.0009,J174&gt;0.0009)</formula>
    </cfRule>
  </conditionalFormatting>
  <conditionalFormatting sqref="J175:J176">
    <cfRule type="expression" dxfId="111" priority="16">
      <formula>$J$166=""</formula>
    </cfRule>
    <cfRule type="expression" dxfId="110" priority="17">
      <formula>OR(J175&lt;-0.0009,J175&gt;0.0009)</formula>
    </cfRule>
  </conditionalFormatting>
  <conditionalFormatting sqref="J149">
    <cfRule type="expression" dxfId="109" priority="14">
      <formula>$J$166=""</formula>
    </cfRule>
    <cfRule type="expression" dxfId="108" priority="15">
      <formula>OR(J149&lt;-0.0009,J149&gt;0.0009)</formula>
    </cfRule>
  </conditionalFormatting>
  <conditionalFormatting sqref="J147">
    <cfRule type="expression" dxfId="107" priority="12">
      <formula>$J$166=""</formula>
    </cfRule>
    <cfRule type="expression" dxfId="106" priority="13">
      <formula>OR(J147&lt;-0.0009,J147&gt;0.0009)</formula>
    </cfRule>
  </conditionalFormatting>
  <conditionalFormatting sqref="J127">
    <cfRule type="expression" dxfId="105" priority="10">
      <formula>$J$166=""</formula>
    </cfRule>
    <cfRule type="expression" dxfId="104" priority="11">
      <formula>OR(J127&lt;-0.0009,J127&gt;0.0009)</formula>
    </cfRule>
  </conditionalFormatting>
  <conditionalFormatting sqref="J107">
    <cfRule type="expression" dxfId="103" priority="8">
      <formula>$J$166=""</formula>
    </cfRule>
    <cfRule type="expression" dxfId="102" priority="9">
      <formula>OR(J107&lt;-0.0009,J107&gt;0.0009)</formula>
    </cfRule>
  </conditionalFormatting>
  <conditionalFormatting sqref="J91">
    <cfRule type="expression" dxfId="101" priority="6">
      <formula>$J$166=""</formula>
    </cfRule>
    <cfRule type="expression" dxfId="100" priority="7">
      <formula>OR(J91&lt;-0.0009,J91&gt;0.0009)</formula>
    </cfRule>
  </conditionalFormatting>
  <conditionalFormatting sqref="J66">
    <cfRule type="expression" dxfId="99" priority="4">
      <formula>$J$166=""</formula>
    </cfRule>
    <cfRule type="expression" dxfId="98" priority="5">
      <formula>OR(J66&lt;-0.0009,J66&gt;0.0009)</formula>
    </cfRule>
  </conditionalFormatting>
  <conditionalFormatting sqref="J190">
    <cfRule type="expression" dxfId="97" priority="2">
      <formula>$J$166=""</formula>
    </cfRule>
    <cfRule type="expression" dxfId="96" priority="3">
      <formula>OR(J190&lt;-0.0009,J190&gt;0.0009)</formula>
    </cfRule>
  </conditionalFormatting>
  <pageMargins left="0.7" right="0.7" top="0.78740157499999996" bottom="0.78740157499999996" header="0.3" footer="0.3"/>
  <pageSetup paperSize="9" scale="71" fitToWidth="0" fitToHeight="0" orientation="portrait" r:id="rId1"/>
  <rowBreaks count="3" manualBreakCount="3">
    <brk id="66" max="6" man="1"/>
    <brk id="128" max="6" man="1"/>
    <brk id="180" max="6" man="1"/>
  </rowBreaks>
  <ignoredErrors>
    <ignoredError sqref="D153:J153 E132:J146 F129 E121:J126 D163:J163 E160 D151:E151 G151:J151 E176 D173:E173 G173:J173 D158:J158 H154:J154 H155:J155 G160:J160 E161 G161:J161 D167:J168 E165 G165:J165 E166 G166:H166 G174:H174 G175:H175 F172:H172 F169:H169 F170:H170 F171:H171 G176:H176 F152:J152 F156:J156 F157:J157 E159:J159 E162:J162 E164:J164 F149:H149 E148:J148 E147:H147 E127:H127" evalError="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dimension ref="A1:I123"/>
  <sheetViews>
    <sheetView topLeftCell="A103" zoomScaleNormal="100" workbookViewId="0">
      <selection activeCell="C128" sqref="C128"/>
    </sheetView>
  </sheetViews>
  <sheetFormatPr baseColWidth="10" defaultColWidth="11.44140625" defaultRowHeight="14.4" x14ac:dyDescent="0.3"/>
  <cols>
    <col min="1" max="1" width="22" style="119" customWidth="1"/>
    <col min="2" max="2" width="29.33203125" style="119" customWidth="1"/>
    <col min="3" max="3" width="12.88671875" style="268" customWidth="1"/>
    <col min="4" max="4" width="17.6640625" style="268" bestFit="1" customWidth="1"/>
    <col min="5" max="5" width="16.44140625" style="119" customWidth="1"/>
    <col min="6" max="6" width="15.88671875" style="119" customWidth="1"/>
    <col min="7" max="7" width="5.33203125" style="64" customWidth="1"/>
    <col min="8" max="8" width="12.109375" style="119" customWidth="1"/>
    <col min="9" max="9" width="14.44140625" style="119" bestFit="1" customWidth="1"/>
    <col min="10" max="16384" width="11.44140625" style="119"/>
  </cols>
  <sheetData>
    <row r="1" spans="1:8" ht="25.8" x14ac:dyDescent="0.5">
      <c r="A1" s="622" t="s">
        <v>329</v>
      </c>
      <c r="B1" s="627"/>
      <c r="C1" s="630"/>
      <c r="D1" s="630"/>
      <c r="E1" s="627"/>
      <c r="F1" s="620"/>
    </row>
    <row r="2" spans="1:8" ht="25.8" x14ac:dyDescent="0.5">
      <c r="A2" s="623" t="s">
        <v>153</v>
      </c>
      <c r="B2" s="535"/>
      <c r="C2" s="631"/>
      <c r="D2" s="631"/>
      <c r="E2" s="535"/>
      <c r="F2" s="624" t="str">
        <f>+Stammdaten!D2</f>
        <v>Version 1.7</v>
      </c>
    </row>
    <row r="3" spans="1:8" x14ac:dyDescent="0.3">
      <c r="A3" s="393">
        <f>+Stammdaten!B5</f>
        <v>0</v>
      </c>
      <c r="B3" s="307"/>
      <c r="C3" s="307">
        <f>+Stammdaten!B3</f>
        <v>0</v>
      </c>
      <c r="D3" s="307"/>
      <c r="E3" s="625" t="s">
        <v>41</v>
      </c>
      <c r="F3" s="626"/>
      <c r="H3" s="196"/>
    </row>
    <row r="4" spans="1:8" ht="15" thickBot="1" x14ac:dyDescent="0.35">
      <c r="A4" s="197"/>
      <c r="B4" s="120"/>
      <c r="C4" s="120"/>
      <c r="D4" s="120"/>
      <c r="E4" s="120"/>
      <c r="F4" s="198"/>
      <c r="H4" s="196"/>
    </row>
    <row r="5" spans="1:8" ht="74.25" customHeight="1" thickBot="1" x14ac:dyDescent="0.35">
      <c r="A5" s="1000" t="s">
        <v>344</v>
      </c>
      <c r="B5" s="979"/>
      <c r="C5" s="979"/>
      <c r="D5" s="979"/>
      <c r="E5" s="979"/>
      <c r="F5" s="1015"/>
      <c r="G5" s="126"/>
      <c r="H5" s="196"/>
    </row>
    <row r="6" spans="1:8" x14ac:dyDescent="0.3">
      <c r="A6" s="1021" t="s">
        <v>268</v>
      </c>
      <c r="B6" s="1030" t="s">
        <v>321</v>
      </c>
      <c r="C6" s="1010"/>
      <c r="D6" s="1011"/>
      <c r="E6" s="527"/>
      <c r="F6" s="534"/>
      <c r="G6" s="405" t="str">
        <f>+IF(AND(D6="x",D8="x"),"Bitte wählen Sie ENTWEDER Berechnung mit Ist-Kosten ODER die Verwendung des bisherigen IK-Satzes!","")</f>
        <v/>
      </c>
      <c r="H6" s="196"/>
    </row>
    <row r="7" spans="1:8" ht="15" thickBot="1" x14ac:dyDescent="0.35">
      <c r="A7" s="1022"/>
      <c r="B7" s="530"/>
      <c r="C7" s="524" t="s">
        <v>271</v>
      </c>
      <c r="D7" s="1012"/>
      <c r="E7" s="535"/>
      <c r="F7" s="536"/>
      <c r="G7" s="126"/>
      <c r="H7" s="196"/>
    </row>
    <row r="8" spans="1:8" ht="29.25" customHeight="1" x14ac:dyDescent="0.3">
      <c r="A8" s="1023"/>
      <c r="B8" s="1031" t="s">
        <v>270</v>
      </c>
      <c r="C8" s="1010"/>
      <c r="D8" s="1011"/>
      <c r="E8" s="561" t="str">
        <f>IF(D8="x","bisherigen IK-Satz","")</f>
        <v/>
      </c>
      <c r="F8" s="1028"/>
      <c r="G8" s="126"/>
      <c r="H8" s="196"/>
    </row>
    <row r="9" spans="1:8" ht="15" thickBot="1" x14ac:dyDescent="0.35">
      <c r="A9" s="1024"/>
      <c r="B9" s="530"/>
      <c r="C9" s="524" t="s">
        <v>272</v>
      </c>
      <c r="D9" s="1012"/>
      <c r="E9" s="562" t="str">
        <f>IF(D8="x","hier eintragen =&gt;","")</f>
        <v/>
      </c>
      <c r="F9" s="1029"/>
      <c r="G9" s="126"/>
      <c r="H9" s="196"/>
    </row>
    <row r="10" spans="1:8" ht="15" thickBot="1" x14ac:dyDescent="0.35">
      <c r="A10" s="197"/>
      <c r="B10" s="120"/>
      <c r="C10" s="120"/>
      <c r="D10" s="120"/>
      <c r="E10" s="120"/>
      <c r="F10" s="407" t="str">
        <f>IF(AND(D6="x",F8&gt;0),"Der bisherige IK-Satz ist nur einzutragen, wenn eine Berechnung auf dieser Basis erfolgen soll. Ggfs. bitte x in Feld D8 eintragen.","")</f>
        <v/>
      </c>
      <c r="G10" s="126"/>
      <c r="H10" s="196"/>
    </row>
    <row r="11" spans="1:8" ht="134.25" customHeight="1" thickBot="1" x14ac:dyDescent="0.35">
      <c r="A11" s="1020" t="s">
        <v>343</v>
      </c>
      <c r="B11" s="979"/>
      <c r="C11" s="979"/>
      <c r="D11" s="979"/>
      <c r="E11" s="979"/>
      <c r="F11" s="1015"/>
      <c r="G11" s="405" t="str">
        <f>+IF(AND(D8="x",D12="x"),"Achtung: diese Auswahl-Möglichkeit haben Sie nur bei Rechnung mit Ist-Kosten!","")</f>
        <v/>
      </c>
      <c r="H11" s="196"/>
    </row>
    <row r="12" spans="1:8" ht="44.25" customHeight="1" x14ac:dyDescent="0.3">
      <c r="A12" s="1021" t="s">
        <v>268</v>
      </c>
      <c r="B12" s="1009" t="s">
        <v>281</v>
      </c>
      <c r="C12" s="1010"/>
      <c r="D12" s="1025"/>
      <c r="E12" s="558" t="str">
        <f>+IF(D12="x","Anteil persönl.
Wohnfläche","")</f>
        <v/>
      </c>
      <c r="F12" s="559" t="str">
        <f>+IF(D12="x",'A Flächen'!E174,"")</f>
        <v/>
      </c>
      <c r="G12" s="405" t="str">
        <f>+IF(AND(D12="x",D14="x"),"Bitte wählen Sie ENTWEDER Kosten nur für Heimbereich ODER die Kosten für Gesamtgebäude inkl. freier Flächen!","")</f>
        <v/>
      </c>
      <c r="H12" s="196"/>
    </row>
    <row r="13" spans="1:8" ht="31.5" customHeight="1" thickBot="1" x14ac:dyDescent="0.35">
      <c r="A13" s="1022"/>
      <c r="B13" s="530"/>
      <c r="C13" s="524" t="s">
        <v>279</v>
      </c>
      <c r="D13" s="1026"/>
      <c r="E13" s="533" t="str">
        <f>+IF(D12="x","Anteil Fachleist.
Fläche","")</f>
        <v/>
      </c>
      <c r="F13" s="560" t="str">
        <f>+IF(D12="x",'A Flächen'!E175,"")</f>
        <v/>
      </c>
      <c r="G13" s="405" t="str">
        <f>+IF(AND(D12="",D14="",D6="x"),"Bitte wählen Sie ENTWEDER Kosten nur Heimbereich ODER Kosten für Gesamtgebäude inkl. freier Flächen!","")</f>
        <v/>
      </c>
      <c r="H13" s="196"/>
    </row>
    <row r="14" spans="1:8" ht="47.25" customHeight="1" x14ac:dyDescent="0.3">
      <c r="A14" s="1023"/>
      <c r="B14" s="1027" t="s">
        <v>282</v>
      </c>
      <c r="C14" s="1010"/>
      <c r="D14" s="1025"/>
      <c r="E14" s="558" t="str">
        <f>+IF(D14="x","Anteil persönl.
Wohnfläche","")</f>
        <v/>
      </c>
      <c r="F14" s="559" t="str">
        <f>+IF(D14="x",'A Flächen'!E169,"")</f>
        <v/>
      </c>
      <c r="G14" s="547"/>
      <c r="H14" s="196"/>
    </row>
    <row r="15" spans="1:8" ht="30.75" customHeight="1" thickBot="1" x14ac:dyDescent="0.35">
      <c r="A15" s="1024"/>
      <c r="B15" s="530"/>
      <c r="C15" s="524" t="s">
        <v>280</v>
      </c>
      <c r="D15" s="1026"/>
      <c r="E15" s="533" t="str">
        <f>+IF(D14="x","Anteil Fachleist.
Fläche","")</f>
        <v/>
      </c>
      <c r="F15" s="560" t="str">
        <f>+IF(D14="x",'A Flächen'!E170,"")</f>
        <v/>
      </c>
      <c r="G15" s="547"/>
      <c r="H15" s="196"/>
    </row>
    <row r="16" spans="1:8" ht="15" thickBot="1" x14ac:dyDescent="0.35">
      <c r="A16" s="197"/>
      <c r="B16" s="120"/>
      <c r="C16" s="120"/>
      <c r="D16" s="120"/>
      <c r="E16" s="120"/>
      <c r="F16" s="407"/>
      <c r="G16" s="405" t="str">
        <f>+IF(AND(D8="x",D14="x"),"Achtung: diese Auswahl-Möglichkeit haben Sie nur bei Rechnung mit Ist-Kosten!","")</f>
        <v/>
      </c>
      <c r="H16" s="196"/>
    </row>
    <row r="17" spans="1:9" ht="105" customHeight="1" thickBot="1" x14ac:dyDescent="0.35">
      <c r="A17" s="1000" t="s">
        <v>323</v>
      </c>
      <c r="B17" s="979"/>
      <c r="C17" s="979"/>
      <c r="D17" s="979"/>
      <c r="E17" s="979"/>
      <c r="F17" s="1015"/>
      <c r="G17" s="405"/>
      <c r="H17" s="196"/>
    </row>
    <row r="18" spans="1:9" ht="29.25" customHeight="1" x14ac:dyDescent="0.3">
      <c r="A18" s="1013" t="s">
        <v>268</v>
      </c>
      <c r="B18" s="1009" t="s">
        <v>320</v>
      </c>
      <c r="C18" s="1010"/>
      <c r="D18" s="1011"/>
      <c r="E18" s="1016" t="str">
        <f>+IF(D18="x","Bitte tragen Sie die gesamten AHK in Feld D26 ein.","")</f>
        <v/>
      </c>
      <c r="F18" s="1017"/>
      <c r="G18" s="405"/>
      <c r="H18" s="196"/>
    </row>
    <row r="19" spans="1:9" ht="15" thickBot="1" x14ac:dyDescent="0.35">
      <c r="A19" s="1014"/>
      <c r="B19" s="530"/>
      <c r="C19" s="524" t="s">
        <v>322</v>
      </c>
      <c r="D19" s="1012"/>
      <c r="E19" s="1018"/>
      <c r="F19" s="1019"/>
      <c r="G19" s="405"/>
      <c r="H19" s="196"/>
    </row>
    <row r="20" spans="1:9" x14ac:dyDescent="0.3">
      <c r="A20" s="197"/>
      <c r="B20" s="120"/>
      <c r="C20" s="120"/>
      <c r="D20" s="120"/>
      <c r="E20" s="120"/>
      <c r="F20" s="407"/>
      <c r="G20" s="405"/>
      <c r="H20" s="196"/>
    </row>
    <row r="21" spans="1:9" ht="21" x14ac:dyDescent="0.4">
      <c r="A21" s="199"/>
      <c r="B21" s="200"/>
      <c r="C21" s="201"/>
      <c r="D21" s="202"/>
      <c r="E21" s="120"/>
      <c r="F21" s="198"/>
      <c r="H21" s="203"/>
    </row>
    <row r="22" spans="1:9" ht="15.6" x14ac:dyDescent="0.3">
      <c r="A22" s="115"/>
      <c r="B22" s="838"/>
      <c r="C22" s="839"/>
      <c r="D22" s="32" t="s">
        <v>172</v>
      </c>
      <c r="E22" s="120"/>
      <c r="F22" s="198"/>
    </row>
    <row r="23" spans="1:9" x14ac:dyDescent="0.3">
      <c r="A23" s="840" t="s">
        <v>58</v>
      </c>
      <c r="B23" s="597"/>
      <c r="C23" s="597"/>
      <c r="D23" s="206"/>
      <c r="E23" s="120"/>
      <c r="F23" s="198"/>
    </row>
    <row r="24" spans="1:9" x14ac:dyDescent="0.3">
      <c r="A24" s="580" t="s">
        <v>59</v>
      </c>
      <c r="B24" s="1" t="s">
        <v>60</v>
      </c>
      <c r="C24" s="581"/>
      <c r="D24" s="207"/>
      <c r="E24" s="120"/>
      <c r="F24" s="208"/>
      <c r="H24" s="83"/>
      <c r="I24" s="83"/>
    </row>
    <row r="25" spans="1:9" x14ac:dyDescent="0.3">
      <c r="A25" s="31" t="str">
        <f>IF(D18="x","","Kostengruppe 200")</f>
        <v>Kostengruppe 200</v>
      </c>
      <c r="B25" s="3" t="str">
        <f>IF(D18="x","","Herrichten und Erschließen")</f>
        <v>Herrichten und Erschließen</v>
      </c>
      <c r="C25" s="7"/>
      <c r="D25" s="207"/>
      <c r="E25" s="120"/>
      <c r="F25" s="208"/>
      <c r="H25" s="83"/>
      <c r="I25" s="83"/>
    </row>
    <row r="26" spans="1:9" x14ac:dyDescent="0.3">
      <c r="A26" s="31" t="str">
        <f>IF(D18="x","Anschaffungskosten","Kostengruppe 300")</f>
        <v>Kostengruppe 300</v>
      </c>
      <c r="B26" s="37" t="str">
        <f>IF(D17="x","","Bauwerk - Baukonstruktion")</f>
        <v>Bauwerk - Baukonstruktion</v>
      </c>
      <c r="C26" s="7"/>
      <c r="D26" s="207"/>
      <c r="E26" s="120"/>
      <c r="F26" s="208"/>
      <c r="H26" s="83"/>
      <c r="I26" s="83"/>
    </row>
    <row r="27" spans="1:9" x14ac:dyDescent="0.3">
      <c r="A27" s="748" t="str">
        <f>IF(D18="x","","Kostengruppe 400")</f>
        <v>Kostengruppe 400</v>
      </c>
      <c r="B27" s="37" t="str">
        <f>IF(D18="x","","Bauwerk - Technische Anlagen")</f>
        <v>Bauwerk - Technische Anlagen</v>
      </c>
      <c r="C27" s="841"/>
      <c r="D27" s="207"/>
      <c r="E27" s="195"/>
      <c r="F27" s="208"/>
      <c r="H27" s="83"/>
      <c r="I27" s="83"/>
    </row>
    <row r="28" spans="1:9" x14ac:dyDescent="0.3">
      <c r="A28" s="748" t="str">
        <f>IF(D18="x","","Kostengruppe 500")</f>
        <v>Kostengruppe 500</v>
      </c>
      <c r="B28" s="37" t="str">
        <f>IF(D18="x","","Außenanlagen")</f>
        <v>Außenanlagen</v>
      </c>
      <c r="C28" s="841"/>
      <c r="D28" s="207"/>
      <c r="E28" s="195"/>
      <c r="F28" s="208"/>
      <c r="H28" s="83"/>
      <c r="I28" s="83"/>
    </row>
    <row r="29" spans="1:9" x14ac:dyDescent="0.3">
      <c r="A29" s="582" t="str">
        <f>IF(D18="x","","Kostengruppe 700")</f>
        <v>Kostengruppe 700</v>
      </c>
      <c r="B29" s="621" t="str">
        <f>IF(D18="x","","Baunebenkosten inkl. Bauherrenkosten")</f>
        <v>Baunebenkosten inkl. Bauherrenkosten</v>
      </c>
      <c r="C29" s="749"/>
      <c r="D29" s="207"/>
      <c r="E29" s="270" t="e">
        <f>+D29/(D26+D27+D28)</f>
        <v>#DIV/0!</v>
      </c>
      <c r="F29" s="208"/>
      <c r="G29" s="525" t="e">
        <f>+IF(E29&gt;22%,"KG 700 &gt; 22% der KG300-500. Bitte erläutern Sie die Höhe der Baunebenkosten auf einem Beiblatt.","")</f>
        <v>#DIV/0!</v>
      </c>
      <c r="H29" s="83"/>
      <c r="I29" s="83"/>
    </row>
    <row r="30" spans="1:9" ht="15.6" x14ac:dyDescent="0.3">
      <c r="A30" s="842" t="s">
        <v>69</v>
      </c>
      <c r="B30" s="843"/>
      <c r="C30" s="844"/>
      <c r="D30" s="269">
        <f>SUM(D24:D29)</f>
        <v>0</v>
      </c>
      <c r="E30" s="120"/>
      <c r="F30" s="198"/>
      <c r="H30" s="271" t="str">
        <f>IF(D6="x",D30-D24,"")</f>
        <v/>
      </c>
      <c r="I30" s="272" t="str">
        <f>IF(D6="x","ohne Grdstk","")</f>
        <v/>
      </c>
    </row>
    <row r="31" spans="1:9" ht="15.6" x14ac:dyDescent="0.3">
      <c r="A31" s="211"/>
      <c r="B31" s="204"/>
      <c r="C31" s="205"/>
      <c r="D31" s="212"/>
      <c r="E31" s="120"/>
      <c r="F31" s="198"/>
      <c r="H31" s="271" t="str">
        <f>IF(D6="x",H30/Stammdaten!B7,"")</f>
        <v/>
      </c>
      <c r="I31" s="113" t="str">
        <f>IF(D6="x","Baukosten pro Platz","")</f>
        <v/>
      </c>
    </row>
    <row r="32" spans="1:9" ht="15.6" x14ac:dyDescent="0.3">
      <c r="A32" s="842" t="s">
        <v>116</v>
      </c>
      <c r="B32" s="843"/>
      <c r="C32" s="844"/>
      <c r="D32" s="277"/>
      <c r="E32" s="120"/>
      <c r="F32" s="198"/>
      <c r="H32" s="83"/>
      <c r="I32" s="83"/>
    </row>
    <row r="33" spans="1:9" x14ac:dyDescent="0.3">
      <c r="A33" s="31"/>
      <c r="B33" s="3"/>
      <c r="C33" s="845"/>
      <c r="D33" s="846"/>
      <c r="E33" s="120"/>
      <c r="F33" s="198"/>
      <c r="H33" s="209"/>
    </row>
    <row r="34" spans="1:9" x14ac:dyDescent="0.3">
      <c r="A34" s="31" t="str">
        <f t="shared" ref="A34:B36" si="0">A26</f>
        <v>Kostengruppe 300</v>
      </c>
      <c r="B34" s="3" t="str">
        <f t="shared" si="0"/>
        <v>Bauwerk - Baukonstruktion</v>
      </c>
      <c r="C34" s="273">
        <f>IF(D26&gt;0,D34/(D34+D35+D36),0)</f>
        <v>0</v>
      </c>
      <c r="D34" s="274">
        <f>IF(D26&gt;0,D26+D29*(D26/(D26+D27+D28)),0)</f>
        <v>0</v>
      </c>
      <c r="E34" s="214"/>
      <c r="F34" s="198"/>
      <c r="H34" s="209"/>
      <c r="I34" s="83"/>
    </row>
    <row r="35" spans="1:9" x14ac:dyDescent="0.3">
      <c r="A35" s="31" t="str">
        <f t="shared" si="0"/>
        <v>Kostengruppe 400</v>
      </c>
      <c r="B35" s="37" t="str">
        <f t="shared" si="0"/>
        <v>Bauwerk - Technische Anlagen</v>
      </c>
      <c r="C35" s="273">
        <f>IF(D27&gt;0,D35/(D34+D35+D36),0)</f>
        <v>0</v>
      </c>
      <c r="D35" s="274">
        <f>IF(D27&gt;0,D27+D29*(D27/(D26+D27+D28)),0)</f>
        <v>0</v>
      </c>
      <c r="E35" s="195"/>
      <c r="F35" s="198"/>
      <c r="H35" s="83"/>
      <c r="I35" s="83"/>
    </row>
    <row r="36" spans="1:9" x14ac:dyDescent="0.3">
      <c r="A36" s="31" t="str">
        <f t="shared" si="0"/>
        <v>Kostengruppe 500</v>
      </c>
      <c r="B36" s="37" t="str">
        <f t="shared" si="0"/>
        <v>Außenanlagen</v>
      </c>
      <c r="C36" s="273">
        <f>IF(D28&gt;0,D36/(D34+D35+D36),0)</f>
        <v>0</v>
      </c>
      <c r="D36" s="275">
        <f>IF(D28&gt;0,D28+D29*(D28/(D26+D27+D28)),0)</f>
        <v>0</v>
      </c>
      <c r="E36" s="195"/>
      <c r="F36" s="198"/>
      <c r="H36" s="83"/>
      <c r="I36" s="83"/>
    </row>
    <row r="37" spans="1:9" ht="15.6" x14ac:dyDescent="0.3">
      <c r="A37" s="842" t="s">
        <v>123</v>
      </c>
      <c r="B37" s="843"/>
      <c r="C37" s="276">
        <f>SUM(C33:C36)-C33</f>
        <v>0</v>
      </c>
      <c r="D37" s="277">
        <f>SUM(D33:D36)</f>
        <v>0</v>
      </c>
      <c r="E37" s="120"/>
      <c r="F37" s="198"/>
      <c r="H37" s="114" t="str">
        <f>IF(D6="x","Kontrolle","")</f>
        <v/>
      </c>
      <c r="I37" s="167" t="str">
        <f>IF(D6="x",D26+D27+D28+D29-D37,"")</f>
        <v/>
      </c>
    </row>
    <row r="38" spans="1:9" ht="15.6" x14ac:dyDescent="0.3">
      <c r="A38" s="215"/>
      <c r="B38" s="216"/>
      <c r="C38" s="217"/>
      <c r="D38" s="218"/>
      <c r="E38" s="120"/>
      <c r="F38" s="208"/>
      <c r="H38" s="89"/>
      <c r="I38" s="83"/>
    </row>
    <row r="39" spans="1:9" ht="15.6" x14ac:dyDescent="0.3">
      <c r="A39" s="842" t="s">
        <v>70</v>
      </c>
      <c r="B39" s="843"/>
      <c r="C39" s="844"/>
      <c r="D39" s="277"/>
      <c r="E39" s="120"/>
      <c r="F39" s="208"/>
      <c r="H39" s="83"/>
      <c r="I39" s="83"/>
    </row>
    <row r="40" spans="1:9" x14ac:dyDescent="0.3">
      <c r="A40" s="31" t="str">
        <f>A25</f>
        <v>Kostengruppe 200</v>
      </c>
      <c r="B40" s="3" t="str">
        <f>B25</f>
        <v>Herrichten und Erschließen</v>
      </c>
      <c r="C40" s="845"/>
      <c r="D40" s="274"/>
      <c r="E40" s="120"/>
      <c r="F40" s="208"/>
      <c r="H40" s="83"/>
      <c r="I40" s="83"/>
    </row>
    <row r="41" spans="1:9" x14ac:dyDescent="0.3">
      <c r="A41" s="31" t="str">
        <f>A34</f>
        <v>Kostengruppe 300</v>
      </c>
      <c r="B41" s="3" t="str">
        <f>B26</f>
        <v>Bauwerk - Baukonstruktion</v>
      </c>
      <c r="C41" s="273">
        <f>C34</f>
        <v>0</v>
      </c>
      <c r="D41" s="278">
        <f>+C41*D44</f>
        <v>0</v>
      </c>
      <c r="E41" s="214"/>
      <c r="F41" s="219"/>
      <c r="H41" s="210"/>
      <c r="I41" s="83"/>
    </row>
    <row r="42" spans="1:9" x14ac:dyDescent="0.3">
      <c r="A42" s="748" t="str">
        <f>A35</f>
        <v>Kostengruppe 400</v>
      </c>
      <c r="B42" s="3" t="str">
        <f>B27</f>
        <v>Bauwerk - Technische Anlagen</v>
      </c>
      <c r="C42" s="273">
        <f>C35</f>
        <v>0</v>
      </c>
      <c r="D42" s="278">
        <f>+C42*$D$44</f>
        <v>0</v>
      </c>
      <c r="E42" s="195"/>
      <c r="F42" s="219"/>
      <c r="H42" s="210"/>
      <c r="I42" s="83"/>
    </row>
    <row r="43" spans="1:9" x14ac:dyDescent="0.3">
      <c r="A43" s="748" t="str">
        <f>A36</f>
        <v>Kostengruppe 500</v>
      </c>
      <c r="B43" s="3" t="str">
        <f>B28</f>
        <v>Außenanlagen</v>
      </c>
      <c r="C43" s="273">
        <f>C36</f>
        <v>0</v>
      </c>
      <c r="D43" s="278">
        <f>+C43*$D$44</f>
        <v>0</v>
      </c>
      <c r="E43" s="195"/>
      <c r="F43" s="219"/>
      <c r="H43" s="210"/>
      <c r="I43" s="83"/>
    </row>
    <row r="44" spans="1:9" ht="15.6" x14ac:dyDescent="0.3">
      <c r="A44" s="842" t="s">
        <v>71</v>
      </c>
      <c r="B44" s="843"/>
      <c r="C44" s="279">
        <f>SUM(C40:C43)-C41</f>
        <v>0</v>
      </c>
      <c r="D44" s="277">
        <f>+B77</f>
        <v>0</v>
      </c>
      <c r="E44" s="120"/>
      <c r="F44" s="220"/>
      <c r="H44" s="221"/>
      <c r="I44" s="83"/>
    </row>
    <row r="45" spans="1:9" x14ac:dyDescent="0.3">
      <c r="A45" s="222"/>
      <c r="B45" s="121"/>
      <c r="C45" s="223"/>
      <c r="D45" s="224"/>
      <c r="E45" s="120"/>
      <c r="F45" s="198"/>
    </row>
    <row r="46" spans="1:9" ht="15.6" x14ac:dyDescent="0.3">
      <c r="A46" s="847" t="s">
        <v>72</v>
      </c>
      <c r="B46" s="843"/>
      <c r="C46" s="844"/>
      <c r="D46" s="848"/>
      <c r="E46" s="120"/>
      <c r="F46" s="198"/>
    </row>
    <row r="47" spans="1:9" x14ac:dyDescent="0.3">
      <c r="A47" s="31" t="str">
        <f t="shared" ref="A47:A50" si="1">A40</f>
        <v>Kostengruppe 200</v>
      </c>
      <c r="B47" s="3" t="str">
        <f>B25</f>
        <v>Herrichten und Erschließen</v>
      </c>
      <c r="C47" s="273">
        <f>+IF(Stammdaten!B8=0,2%,IF(Stammdaten!B8&lt;2005,2.45%,IF(AND(Stammdaten!B8&gt;=2005,D18="x"),3.33%,2%)))</f>
        <v>0.02</v>
      </c>
      <c r="D47" s="274">
        <f>(D25-D40)*C47</f>
        <v>0</v>
      </c>
      <c r="E47" s="406" t="str">
        <f>+IF(Stammdaten!B8="","Bitte Stammdaten Feld B8 ausfüllen!","")</f>
        <v>Bitte Stammdaten Feld B8 ausfüllen!</v>
      </c>
      <c r="F47" s="198"/>
    </row>
    <row r="48" spans="1:9" x14ac:dyDescent="0.3">
      <c r="A48" s="31" t="str">
        <f t="shared" si="1"/>
        <v>Kostengruppe 300</v>
      </c>
      <c r="B48" s="3" t="str">
        <f t="shared" ref="B48:B50" si="2">B26</f>
        <v>Bauwerk - Baukonstruktion</v>
      </c>
      <c r="C48" s="273">
        <f>+IF(Stammdaten!B8=0,2%,IF(Stammdaten!B8&lt;2005,2.45%,IF(AND(Stammdaten!B8&gt;=2005,D18="x"),3.33%,2%)))</f>
        <v>0.02</v>
      </c>
      <c r="D48" s="274">
        <f>(D34-D41)*C48</f>
        <v>0</v>
      </c>
      <c r="E48" s="406" t="str">
        <f>+IF(Stammdaten!B8="","Bitte Stammdaten Feld B8 ausfüllen!","")</f>
        <v>Bitte Stammdaten Feld B8 ausfüllen!</v>
      </c>
      <c r="F48" s="198"/>
    </row>
    <row r="49" spans="1:8" x14ac:dyDescent="0.3">
      <c r="A49" s="748" t="str">
        <f t="shared" si="1"/>
        <v>Kostengruppe 400</v>
      </c>
      <c r="B49" s="3" t="str">
        <f t="shared" si="2"/>
        <v>Bauwerk - Technische Anlagen</v>
      </c>
      <c r="C49" s="273">
        <f>+IF(Stammdaten!B8=0,6.67%,IF(Stammdaten!B8&lt;2005,2.45%,IF(AND(Stammdaten!B8&gt;=2005,D18="x"),3.33%,6.67%)))</f>
        <v>6.6699999999999995E-2</v>
      </c>
      <c r="D49" s="274">
        <f>(D35-D42)*C49</f>
        <v>0</v>
      </c>
      <c r="E49" s="406" t="str">
        <f>+IF(Stammdaten!B8="","Bitte Stammdaten Feld B8 ausfüllen!","")</f>
        <v>Bitte Stammdaten Feld B8 ausfüllen!</v>
      </c>
      <c r="F49" s="225"/>
      <c r="G49" s="142"/>
      <c r="H49" s="226"/>
    </row>
    <row r="50" spans="1:8" x14ac:dyDescent="0.3">
      <c r="A50" s="748" t="str">
        <f t="shared" si="1"/>
        <v>Kostengruppe 500</v>
      </c>
      <c r="B50" s="3" t="str">
        <f t="shared" si="2"/>
        <v>Außenanlagen</v>
      </c>
      <c r="C50" s="273">
        <f>+IF(Stammdaten!B8=0,4%,IF(Stammdaten!B8&lt;2005,2.45%,IF(AND(Stammdaten!B8&gt;=2005,D18="x"),3.33%,4%)))</f>
        <v>0.04</v>
      </c>
      <c r="D50" s="274">
        <f>(D36-D43)*C50</f>
        <v>0</v>
      </c>
      <c r="E50" s="406" t="str">
        <f>+IF(Stammdaten!B8="","Bitte Stammdaten Feld B8 ausfüllen!","")</f>
        <v>Bitte Stammdaten Feld B8 ausfüllen!</v>
      </c>
      <c r="F50" s="227"/>
      <c r="H50" s="226"/>
    </row>
    <row r="51" spans="1:8" x14ac:dyDescent="0.3">
      <c r="A51" s="840" t="s">
        <v>73</v>
      </c>
      <c r="B51" s="597"/>
      <c r="C51" s="844"/>
      <c r="D51" s="277">
        <f>SUM(D47:D50)</f>
        <v>0</v>
      </c>
      <c r="E51" s="120"/>
      <c r="F51" s="198"/>
    </row>
    <row r="52" spans="1:8" ht="15.6" x14ac:dyDescent="0.3">
      <c r="A52" s="842" t="s">
        <v>74</v>
      </c>
      <c r="B52" s="843"/>
      <c r="C52" s="844"/>
      <c r="D52" s="277">
        <f>SUM(D47:D50)</f>
        <v>0</v>
      </c>
      <c r="E52" s="120"/>
      <c r="F52" s="198"/>
    </row>
    <row r="53" spans="1:8" x14ac:dyDescent="0.3">
      <c r="A53" s="68"/>
      <c r="B53" s="120"/>
      <c r="C53" s="195"/>
      <c r="D53" s="228"/>
      <c r="E53" s="120"/>
      <c r="F53" s="198"/>
    </row>
    <row r="54" spans="1:8" x14ac:dyDescent="0.3">
      <c r="A54" s="851" t="s">
        <v>75</v>
      </c>
      <c r="B54" s="79"/>
      <c r="C54" s="195"/>
      <c r="D54" s="228"/>
      <c r="E54" s="120"/>
      <c r="F54" s="198"/>
    </row>
    <row r="55" spans="1:8" x14ac:dyDescent="0.3">
      <c r="A55" s="68"/>
      <c r="B55" s="849" t="s">
        <v>334</v>
      </c>
      <c r="C55" s="296"/>
      <c r="D55" s="274">
        <f>SUM(D47:D50)</f>
        <v>0</v>
      </c>
      <c r="E55" s="120"/>
      <c r="F55" s="198"/>
    </row>
    <row r="56" spans="1:8" x14ac:dyDescent="0.3">
      <c r="A56" s="68"/>
      <c r="B56" s="849" t="s">
        <v>76</v>
      </c>
      <c r="C56" s="296"/>
      <c r="D56" s="274">
        <f>SUM(D25:D29)-SUM(D40:D43)</f>
        <v>0</v>
      </c>
      <c r="E56" s="120"/>
      <c r="F56" s="198"/>
    </row>
    <row r="57" spans="1:8" x14ac:dyDescent="0.3">
      <c r="A57" s="68"/>
      <c r="B57" s="109" t="s">
        <v>77</v>
      </c>
      <c r="C57" s="850"/>
      <c r="D57" s="282" t="e">
        <f>D55/D56</f>
        <v>#DIV/0!</v>
      </c>
      <c r="E57" s="120"/>
      <c r="F57" s="198"/>
    </row>
    <row r="58" spans="1:8" x14ac:dyDescent="0.3">
      <c r="A58" s="68"/>
      <c r="B58" s="120"/>
      <c r="C58" s="195"/>
      <c r="D58" s="229"/>
      <c r="E58" s="120"/>
      <c r="F58" s="198"/>
    </row>
    <row r="59" spans="1:8" ht="15.6" x14ac:dyDescent="0.3">
      <c r="A59" s="847" t="s">
        <v>79</v>
      </c>
      <c r="B59" s="843"/>
      <c r="C59" s="844"/>
      <c r="D59" s="277"/>
      <c r="E59" s="120"/>
      <c r="F59" s="624" t="s">
        <v>341</v>
      </c>
    </row>
    <row r="60" spans="1:8" x14ac:dyDescent="0.3">
      <c r="A60" s="296"/>
      <c r="B60" s="583" t="s">
        <v>80</v>
      </c>
      <c r="C60" s="711"/>
      <c r="D60" s="274">
        <f>IF(F62&gt;0,F62,D30-D24)</f>
        <v>0</v>
      </c>
      <c r="E60" s="120"/>
      <c r="F60" s="948" t="s">
        <v>340</v>
      </c>
    </row>
    <row r="61" spans="1:8" x14ac:dyDescent="0.3">
      <c r="A61" s="953" t="s">
        <v>78</v>
      </c>
      <c r="B61" s="583" t="s">
        <v>81</v>
      </c>
      <c r="C61" s="954"/>
      <c r="D61" s="350">
        <f>IF(F67&gt;0,F67,0.8%)</f>
        <v>8.0000000000000002E-3</v>
      </c>
      <c r="E61" s="120"/>
      <c r="F61" s="948" t="s">
        <v>338</v>
      </c>
    </row>
    <row r="62" spans="1:8" ht="15.6" x14ac:dyDescent="0.3">
      <c r="A62" s="842" t="s">
        <v>82</v>
      </c>
      <c r="B62" s="843"/>
      <c r="C62" s="844"/>
      <c r="D62" s="277">
        <f>D60*D61</f>
        <v>0</v>
      </c>
      <c r="E62" s="120"/>
      <c r="F62" s="233"/>
    </row>
    <row r="63" spans="1:8" x14ac:dyDescent="0.3">
      <c r="A63" s="68"/>
      <c r="B63" s="120"/>
      <c r="C63" s="195"/>
      <c r="D63" s="229"/>
      <c r="E63" s="120"/>
      <c r="F63" s="198"/>
    </row>
    <row r="64" spans="1:8" ht="15.6" x14ac:dyDescent="0.3">
      <c r="A64" s="847" t="s">
        <v>346</v>
      </c>
      <c r="B64" s="843"/>
      <c r="C64" s="844"/>
      <c r="D64" s="277"/>
      <c r="E64" s="120"/>
      <c r="F64" s="624" t="s">
        <v>341</v>
      </c>
    </row>
    <row r="65" spans="1:6" x14ac:dyDescent="0.3">
      <c r="A65" s="230" t="s">
        <v>83</v>
      </c>
      <c r="B65" s="231"/>
      <c r="C65" s="232"/>
      <c r="D65" s="233"/>
      <c r="E65" s="120"/>
      <c r="F65" s="948" t="s">
        <v>337</v>
      </c>
    </row>
    <row r="66" spans="1:6" x14ac:dyDescent="0.3">
      <c r="A66" s="230" t="s">
        <v>84</v>
      </c>
      <c r="B66" s="231"/>
      <c r="C66" s="232"/>
      <c r="D66" s="233"/>
      <c r="E66" s="120"/>
      <c r="F66" s="948" t="s">
        <v>339</v>
      </c>
    </row>
    <row r="67" spans="1:6" x14ac:dyDescent="0.3">
      <c r="A67" s="230" t="s">
        <v>85</v>
      </c>
      <c r="B67" s="231"/>
      <c r="C67" s="234"/>
      <c r="D67" s="233"/>
      <c r="E67" s="120"/>
      <c r="F67" s="947"/>
    </row>
    <row r="68" spans="1:6" ht="15.6" x14ac:dyDescent="0.3">
      <c r="A68" s="847" t="s">
        <v>87</v>
      </c>
      <c r="B68" s="843"/>
      <c r="C68" s="844"/>
      <c r="D68" s="277">
        <f>+SUM(D65:D67)</f>
        <v>0</v>
      </c>
      <c r="E68" s="120"/>
      <c r="F68" s="198"/>
    </row>
    <row r="69" spans="1:6" x14ac:dyDescent="0.3">
      <c r="A69" s="68"/>
      <c r="B69" s="120"/>
      <c r="C69" s="195"/>
      <c r="D69" s="229"/>
      <c r="E69" s="120"/>
      <c r="F69" s="198"/>
    </row>
    <row r="70" spans="1:6" x14ac:dyDescent="0.3">
      <c r="A70" s="68"/>
      <c r="B70" s="120"/>
      <c r="C70" s="195"/>
      <c r="D70" s="229"/>
      <c r="E70" s="120"/>
      <c r="F70" s="198"/>
    </row>
    <row r="71" spans="1:6" ht="15.6" x14ac:dyDescent="0.3">
      <c r="A71" s="847" t="s">
        <v>88</v>
      </c>
      <c r="B71" s="843"/>
      <c r="C71" s="844"/>
      <c r="D71" s="856"/>
      <c r="E71" s="120"/>
      <c r="F71" s="198"/>
    </row>
    <row r="72" spans="1:6" x14ac:dyDescent="0.3">
      <c r="A72" s="579" t="s">
        <v>71</v>
      </c>
      <c r="B72" s="32" t="s">
        <v>175</v>
      </c>
      <c r="C72" s="237"/>
      <c r="D72" s="238"/>
      <c r="E72" s="120"/>
      <c r="F72" s="239"/>
    </row>
    <row r="73" spans="1:6" x14ac:dyDescent="0.3">
      <c r="A73" s="240" t="s">
        <v>83</v>
      </c>
      <c r="B73" s="241"/>
      <c r="C73" s="242"/>
      <c r="D73" s="243"/>
      <c r="E73" s="120"/>
      <c r="F73" s="244"/>
    </row>
    <row r="74" spans="1:6" x14ac:dyDescent="0.3">
      <c r="A74" s="240" t="s">
        <v>84</v>
      </c>
      <c r="B74" s="241"/>
      <c r="C74" s="242"/>
      <c r="D74" s="243"/>
      <c r="E74" s="120"/>
      <c r="F74" s="198"/>
    </row>
    <row r="75" spans="1:6" x14ac:dyDescent="0.3">
      <c r="A75" s="240" t="s">
        <v>85</v>
      </c>
      <c r="B75" s="241"/>
      <c r="C75" s="242"/>
      <c r="D75" s="243"/>
      <c r="E75" s="120"/>
      <c r="F75" s="198"/>
    </row>
    <row r="76" spans="1:6" x14ac:dyDescent="0.3">
      <c r="A76" s="240" t="s">
        <v>97</v>
      </c>
      <c r="B76" s="241"/>
      <c r="C76" s="245"/>
      <c r="D76" s="243"/>
      <c r="E76" s="120"/>
      <c r="F76" s="198"/>
    </row>
    <row r="77" spans="1:6" x14ac:dyDescent="0.3">
      <c r="A77" s="596" t="s">
        <v>71</v>
      </c>
      <c r="B77" s="285">
        <f>SUM(B73:B76)</f>
        <v>0</v>
      </c>
      <c r="C77" s="242"/>
      <c r="D77" s="243"/>
      <c r="E77" s="120"/>
      <c r="F77" s="198"/>
    </row>
    <row r="78" spans="1:6" x14ac:dyDescent="0.3">
      <c r="A78" s="68"/>
      <c r="B78" s="246"/>
      <c r="C78" s="195"/>
      <c r="D78" s="247"/>
      <c r="E78" s="120"/>
      <c r="F78" s="198"/>
    </row>
    <row r="79" spans="1:6" x14ac:dyDescent="0.3">
      <c r="A79" s="579" t="s">
        <v>89</v>
      </c>
      <c r="B79" s="32" t="s">
        <v>175</v>
      </c>
      <c r="C79" s="32" t="s">
        <v>169</v>
      </c>
      <c r="D79" s="238"/>
      <c r="E79" s="120"/>
      <c r="F79" s="198"/>
    </row>
    <row r="80" spans="1:6" x14ac:dyDescent="0.3">
      <c r="A80" s="248" t="s">
        <v>95</v>
      </c>
      <c r="B80" s="207"/>
      <c r="C80" s="955"/>
      <c r="D80" s="289">
        <f>B80*C80</f>
        <v>0</v>
      </c>
      <c r="E80" s="120"/>
      <c r="F80" s="198"/>
    </row>
    <row r="81" spans="1:9" x14ac:dyDescent="0.3">
      <c r="A81" s="248" t="s">
        <v>96</v>
      </c>
      <c r="B81" s="207"/>
      <c r="C81" s="955"/>
      <c r="D81" s="289">
        <f>B81*C81</f>
        <v>0</v>
      </c>
      <c r="E81" s="120"/>
      <c r="F81" s="198"/>
    </row>
    <row r="82" spans="1:9" x14ac:dyDescent="0.3">
      <c r="A82" s="248" t="s">
        <v>163</v>
      </c>
      <c r="B82" s="241"/>
      <c r="C82" s="955"/>
      <c r="D82" s="289">
        <f>B82*C82</f>
        <v>0</v>
      </c>
      <c r="E82" s="120"/>
      <c r="F82" s="198"/>
    </row>
    <row r="83" spans="1:9" x14ac:dyDescent="0.3">
      <c r="A83" s="858" t="s">
        <v>60</v>
      </c>
      <c r="B83" s="286">
        <f>+D24</f>
        <v>0</v>
      </c>
      <c r="C83" s="955"/>
      <c r="D83" s="289">
        <f>B83*C83</f>
        <v>0</v>
      </c>
      <c r="E83" s="120"/>
      <c r="F83" s="198"/>
    </row>
    <row r="84" spans="1:9" x14ac:dyDescent="0.3">
      <c r="A84" s="596" t="s">
        <v>90</v>
      </c>
      <c r="B84" s="285">
        <f>SUM(B80:B83)</f>
        <v>0</v>
      </c>
      <c r="C84" s="956"/>
      <c r="D84" s="290">
        <f>SUM(D80:D83)</f>
        <v>0</v>
      </c>
      <c r="E84" s="120"/>
      <c r="F84" s="198"/>
    </row>
    <row r="85" spans="1:9" x14ac:dyDescent="0.3">
      <c r="A85" s="68"/>
      <c r="B85" s="120"/>
      <c r="C85" s="120"/>
      <c r="D85" s="228"/>
      <c r="E85" s="120"/>
      <c r="F85" s="198"/>
    </row>
    <row r="86" spans="1:9" x14ac:dyDescent="0.3">
      <c r="A86" s="579" t="s">
        <v>91</v>
      </c>
      <c r="B86" s="32" t="s">
        <v>175</v>
      </c>
      <c r="C86" s="32" t="s">
        <v>169</v>
      </c>
      <c r="D86" s="250"/>
      <c r="E86" s="120"/>
      <c r="F86" s="198"/>
    </row>
    <row r="87" spans="1:9" x14ac:dyDescent="0.3">
      <c r="A87" s="859" t="s">
        <v>91</v>
      </c>
      <c r="B87" s="291">
        <f>+D30-B77-B84-B88-B89-B90</f>
        <v>0</v>
      </c>
      <c r="C87" s="955">
        <v>1.4999999999999999E-2</v>
      </c>
      <c r="D87" s="292">
        <f>B87*C87</f>
        <v>0</v>
      </c>
      <c r="E87" s="120"/>
      <c r="F87" s="198"/>
      <c r="G87" s="142"/>
    </row>
    <row r="88" spans="1:9" x14ac:dyDescent="0.3">
      <c r="A88" s="240" t="s">
        <v>94</v>
      </c>
      <c r="B88" s="241"/>
      <c r="C88" s="355">
        <v>0</v>
      </c>
      <c r="D88" s="292">
        <f>B88*C88</f>
        <v>0</v>
      </c>
      <c r="E88" s="120"/>
      <c r="F88" s="198"/>
    </row>
    <row r="89" spans="1:9" x14ac:dyDescent="0.3">
      <c r="A89" s="240" t="s">
        <v>85</v>
      </c>
      <c r="B89" s="241"/>
      <c r="C89" s="955">
        <f>+C87</f>
        <v>1.4999999999999999E-2</v>
      </c>
      <c r="D89" s="292">
        <f>B89*C89</f>
        <v>0</v>
      </c>
      <c r="E89" s="120"/>
      <c r="F89" s="198"/>
      <c r="G89" s="142"/>
    </row>
    <row r="90" spans="1:9" x14ac:dyDescent="0.3">
      <c r="A90" s="248" t="s">
        <v>97</v>
      </c>
      <c r="B90" s="241"/>
      <c r="C90" s="955">
        <f>+C87</f>
        <v>1.4999999999999999E-2</v>
      </c>
      <c r="D90" s="292">
        <f>B90*C90</f>
        <v>0</v>
      </c>
      <c r="E90" s="120"/>
      <c r="F90" s="198"/>
      <c r="G90" s="142"/>
    </row>
    <row r="91" spans="1:9" x14ac:dyDescent="0.3">
      <c r="A91" s="596" t="s">
        <v>92</v>
      </c>
      <c r="B91" s="285">
        <f>SUM(B87:B90)</f>
        <v>0</v>
      </c>
      <c r="C91" s="860"/>
      <c r="D91" s="293">
        <f>SUM(D87:D90)</f>
        <v>0</v>
      </c>
      <c r="E91" s="120"/>
      <c r="F91" s="198"/>
    </row>
    <row r="92" spans="1:9" x14ac:dyDescent="0.3">
      <c r="A92" s="251"/>
      <c r="B92" s="252"/>
      <c r="C92" s="253"/>
      <c r="D92" s="254"/>
      <c r="E92" s="120"/>
      <c r="F92" s="198"/>
      <c r="H92" s="255"/>
    </row>
    <row r="93" spans="1:9" ht="15.6" x14ac:dyDescent="0.3">
      <c r="A93" s="842" t="s">
        <v>93</v>
      </c>
      <c r="B93" s="294">
        <f>+B77+B84+B91</f>
        <v>0</v>
      </c>
      <c r="C93" s="597"/>
      <c r="D93" s="269">
        <f>D91+D84</f>
        <v>0</v>
      </c>
      <c r="E93" s="256"/>
      <c r="F93" s="198"/>
      <c r="H93" s="114" t="str">
        <f>IF(D6="x","Kontrolle","")</f>
        <v/>
      </c>
      <c r="I93" s="167" t="str">
        <f>IF(D6="x",B93-D30,"")</f>
        <v/>
      </c>
    </row>
    <row r="94" spans="1:9" x14ac:dyDescent="0.3">
      <c r="A94" s="68"/>
      <c r="B94" s="120"/>
      <c r="C94" s="195"/>
      <c r="D94" s="229"/>
      <c r="E94" s="120"/>
      <c r="F94" s="198"/>
    </row>
    <row r="95" spans="1:9" ht="15.6" x14ac:dyDescent="0.3">
      <c r="A95" s="842" t="s">
        <v>11</v>
      </c>
      <c r="B95" s="294"/>
      <c r="C95" s="844"/>
      <c r="D95" s="856"/>
      <c r="E95" s="120"/>
      <c r="F95" s="198"/>
    </row>
    <row r="96" spans="1:9" x14ac:dyDescent="0.3">
      <c r="A96" s="582" t="s">
        <v>335</v>
      </c>
      <c r="B96" s="702"/>
      <c r="C96" s="702"/>
      <c r="D96" s="275">
        <f>+D52</f>
        <v>0</v>
      </c>
      <c r="E96" s="120"/>
      <c r="F96" s="198"/>
    </row>
    <row r="97" spans="1:6" x14ac:dyDescent="0.3">
      <c r="A97" s="583" t="s">
        <v>14</v>
      </c>
      <c r="B97" s="307"/>
      <c r="C97" s="307"/>
      <c r="D97" s="274">
        <f>+D62</f>
        <v>0</v>
      </c>
      <c r="E97" s="120"/>
      <c r="F97" s="198"/>
    </row>
    <row r="98" spans="1:6" x14ac:dyDescent="0.3">
      <c r="A98" s="583" t="s">
        <v>9</v>
      </c>
      <c r="B98" s="307"/>
      <c r="C98" s="307"/>
      <c r="D98" s="274">
        <f>+D68</f>
        <v>0</v>
      </c>
      <c r="E98" s="120"/>
      <c r="F98" s="198"/>
    </row>
    <row r="99" spans="1:6" x14ac:dyDescent="0.3">
      <c r="A99" s="583" t="s">
        <v>15</v>
      </c>
      <c r="B99" s="307"/>
      <c r="C99" s="307"/>
      <c r="D99" s="274">
        <f>+D93</f>
        <v>0</v>
      </c>
      <c r="E99" s="120"/>
      <c r="F99" s="198"/>
    </row>
    <row r="100" spans="1:6" x14ac:dyDescent="0.3">
      <c r="A100" s="840" t="s">
        <v>10</v>
      </c>
      <c r="B100" s="819"/>
      <c r="C100" s="819"/>
      <c r="D100" s="295">
        <f>SUM(D96:D99)</f>
        <v>0</v>
      </c>
      <c r="E100" s="120"/>
      <c r="F100" s="198"/>
    </row>
    <row r="101" spans="1:6" x14ac:dyDescent="0.3">
      <c r="A101" s="68"/>
      <c r="B101" s="120"/>
      <c r="C101" s="195"/>
      <c r="D101" s="247"/>
      <c r="E101" s="120"/>
      <c r="F101" s="198"/>
    </row>
    <row r="102" spans="1:6" x14ac:dyDescent="0.3">
      <c r="A102" s="296" t="s">
        <v>16</v>
      </c>
      <c r="B102" s="296">
        <v>365</v>
      </c>
      <c r="C102" s="195"/>
      <c r="D102" s="247"/>
      <c r="E102" s="120"/>
      <c r="F102" s="198"/>
    </row>
    <row r="103" spans="1:6" x14ac:dyDescent="0.3">
      <c r="A103" s="296" t="s">
        <v>17</v>
      </c>
      <c r="B103" s="297">
        <f>+Stammdaten!B7</f>
        <v>0</v>
      </c>
      <c r="C103" s="258"/>
      <c r="D103" s="247"/>
      <c r="E103" s="120"/>
      <c r="F103" s="198"/>
    </row>
    <row r="104" spans="1:6" x14ac:dyDescent="0.3">
      <c r="A104" s="705" t="s">
        <v>18</v>
      </c>
      <c r="B104" s="957">
        <v>0.96499999999999997</v>
      </c>
      <c r="C104" s="195"/>
      <c r="D104" s="247"/>
      <c r="E104" s="120"/>
      <c r="F104" s="198"/>
    </row>
    <row r="105" spans="1:6" ht="29.4" thickBot="1" x14ac:dyDescent="0.35">
      <c r="A105" s="861" t="s">
        <v>19</v>
      </c>
      <c r="B105" s="298">
        <f>B104*B103*B102</f>
        <v>0</v>
      </c>
      <c r="C105" s="258"/>
      <c r="D105" s="247"/>
      <c r="E105" s="862" t="s">
        <v>22</v>
      </c>
      <c r="F105" s="862" t="s">
        <v>21</v>
      </c>
    </row>
    <row r="106" spans="1:6" ht="15.75" customHeight="1" thickTop="1" thickBot="1" x14ac:dyDescent="0.35">
      <c r="A106" s="68"/>
      <c r="B106" s="120"/>
      <c r="C106" s="195"/>
      <c r="D106" s="247"/>
      <c r="E106" s="863" t="s">
        <v>102</v>
      </c>
      <c r="F106" s="863" t="s">
        <v>102</v>
      </c>
    </row>
    <row r="107" spans="1:6" ht="18.600000000000001" thickBot="1" x14ac:dyDescent="0.4">
      <c r="A107" s="842" t="s">
        <v>227</v>
      </c>
      <c r="B107" s="294"/>
      <c r="C107" s="844"/>
      <c r="D107" s="856"/>
      <c r="E107" s="299" t="e">
        <f>+IF(D14="x",'A Flächen'!E169,'A Flächen'!E174)</f>
        <v>#DIV/0!</v>
      </c>
      <c r="F107" s="299" t="e">
        <f>+IF(D14="x",'A Flächen'!E170,'A Flächen'!E175)</f>
        <v>#DIV/0!</v>
      </c>
    </row>
    <row r="108" spans="1:6" x14ac:dyDescent="0.3">
      <c r="A108" s="864" t="s">
        <v>12</v>
      </c>
      <c r="B108" s="865"/>
      <c r="C108" s="865"/>
      <c r="D108" s="300" t="e">
        <f>D96/$B$105</f>
        <v>#DIV/0!</v>
      </c>
      <c r="E108" s="260"/>
      <c r="F108" s="261"/>
    </row>
    <row r="109" spans="1:6" x14ac:dyDescent="0.3">
      <c r="A109" s="858" t="s">
        <v>14</v>
      </c>
      <c r="B109" s="866"/>
      <c r="C109" s="866"/>
      <c r="D109" s="300" t="e">
        <f>D97/$B$105</f>
        <v>#DIV/0!</v>
      </c>
      <c r="E109" s="262"/>
      <c r="F109" s="263"/>
    </row>
    <row r="110" spans="1:6" x14ac:dyDescent="0.3">
      <c r="A110" s="858" t="s">
        <v>9</v>
      </c>
      <c r="B110" s="866"/>
      <c r="C110" s="866"/>
      <c r="D110" s="300" t="e">
        <f>D98/$B$105</f>
        <v>#DIV/0!</v>
      </c>
      <c r="E110" s="262"/>
      <c r="F110" s="263"/>
    </row>
    <row r="111" spans="1:6" ht="15" thickBot="1" x14ac:dyDescent="0.35">
      <c r="A111" s="858" t="s">
        <v>15</v>
      </c>
      <c r="B111" s="866"/>
      <c r="C111" s="866"/>
      <c r="D111" s="301" t="e">
        <f>D99/$B$105</f>
        <v>#DIV/0!</v>
      </c>
      <c r="E111" s="262"/>
      <c r="F111" s="263"/>
    </row>
    <row r="112" spans="1:6" ht="18.600000000000001" thickBot="1" x14ac:dyDescent="0.4">
      <c r="A112" s="867" t="s">
        <v>243</v>
      </c>
      <c r="B112" s="868"/>
      <c r="C112" s="869" t="s">
        <v>57</v>
      </c>
      <c r="D112" s="302" t="e">
        <f>IF(D8="x",F8,SUM(D108:D111))</f>
        <v>#DIV/0!</v>
      </c>
      <c r="E112" s="264"/>
      <c r="F112" s="265"/>
    </row>
    <row r="113" spans="1:9" ht="15.6" x14ac:dyDescent="0.3">
      <c r="A113" s="867" t="s">
        <v>243</v>
      </c>
      <c r="B113" s="868"/>
      <c r="C113" s="869" t="s">
        <v>99</v>
      </c>
      <c r="D113" s="303" t="e">
        <f>+D112*365</f>
        <v>#DIV/0!</v>
      </c>
      <c r="E113" s="266"/>
      <c r="F113" s="267"/>
    </row>
    <row r="114" spans="1:9" ht="18" x14ac:dyDescent="0.35">
      <c r="A114" s="870" t="s">
        <v>243</v>
      </c>
      <c r="B114" s="871"/>
      <c r="C114" s="818" t="s">
        <v>98</v>
      </c>
      <c r="D114" s="304" t="e">
        <f>+D113/12</f>
        <v>#DIV/0!</v>
      </c>
      <c r="E114" s="304" t="e">
        <f>+D114*E107</f>
        <v>#DIV/0!</v>
      </c>
      <c r="F114" s="304" t="e">
        <f>+D114*F107</f>
        <v>#DIV/0!</v>
      </c>
    </row>
    <row r="115" spans="1:9" x14ac:dyDescent="0.3">
      <c r="A115" s="68"/>
      <c r="B115" s="120"/>
      <c r="C115" s="195"/>
      <c r="D115" s="195"/>
      <c r="E115" s="195"/>
      <c r="F115" s="247"/>
    </row>
    <row r="116" spans="1:9" x14ac:dyDescent="0.3">
      <c r="A116" s="68"/>
      <c r="B116" s="120"/>
      <c r="C116" s="195"/>
      <c r="D116" s="195"/>
      <c r="E116" s="195"/>
      <c r="F116" s="247"/>
    </row>
    <row r="117" spans="1:9" ht="21" x14ac:dyDescent="0.4">
      <c r="A117" s="642" t="s">
        <v>119</v>
      </c>
      <c r="B117" s="588"/>
      <c r="C117" s="872"/>
      <c r="D117" s="872"/>
      <c r="E117" s="872"/>
      <c r="F117" s="873"/>
    </row>
    <row r="118" spans="1:9" x14ac:dyDescent="0.3">
      <c r="A118" s="874" t="s">
        <v>349</v>
      </c>
      <c r="B118" s="550">
        <f>+'Anl. Verw.kosten'!C14</f>
        <v>304.73163290462486</v>
      </c>
      <c r="C118" s="875" t="s">
        <v>120</v>
      </c>
      <c r="D118" s="551">
        <f>+B118/12</f>
        <v>25.394302742052073</v>
      </c>
      <c r="E118" s="274">
        <f>+D118</f>
        <v>25.394302742052073</v>
      </c>
      <c r="F118" s="551"/>
    </row>
    <row r="119" spans="1:9" x14ac:dyDescent="0.3">
      <c r="A119" s="876" t="s">
        <v>303</v>
      </c>
      <c r="B119" s="556">
        <v>7.4999999999999997E-3</v>
      </c>
      <c r="C119" s="877" t="s">
        <v>244</v>
      </c>
      <c r="D119" s="305" t="e">
        <f>+B119*E114</f>
        <v>#DIV/0!</v>
      </c>
      <c r="E119" s="305" t="e">
        <f>+D119</f>
        <v>#DIV/0!</v>
      </c>
      <c r="F119" s="305"/>
    </row>
    <row r="120" spans="1:9" ht="18" x14ac:dyDescent="0.35">
      <c r="A120" s="607" t="s">
        <v>130</v>
      </c>
      <c r="B120" s="608"/>
      <c r="C120" s="608"/>
      <c r="D120" s="306" t="e">
        <f>+SUM(D118:D119)</f>
        <v>#DIV/0!</v>
      </c>
      <c r="E120" s="306" t="e">
        <f>+SUM(E118:E119)</f>
        <v>#DIV/0!</v>
      </c>
      <c r="F120" s="306">
        <f>+SUM(F118:F119)</f>
        <v>0</v>
      </c>
    </row>
    <row r="121" spans="1:9" x14ac:dyDescent="0.3">
      <c r="A121" s="115"/>
      <c r="B121" s="535"/>
      <c r="C121" s="631"/>
      <c r="D121" s="631"/>
      <c r="E121" s="631"/>
      <c r="F121" s="878"/>
    </row>
    <row r="122" spans="1:9" ht="18" x14ac:dyDescent="0.35">
      <c r="A122" s="607" t="s">
        <v>121</v>
      </c>
      <c r="B122" s="608"/>
      <c r="C122" s="608"/>
      <c r="D122" s="306" t="e">
        <f>+D120+D114</f>
        <v>#DIV/0!</v>
      </c>
      <c r="E122" s="306" t="e">
        <f>+E120+E114</f>
        <v>#DIV/0!</v>
      </c>
      <c r="F122" s="306" t="e">
        <f>+F114+F120</f>
        <v>#DIV/0!</v>
      </c>
      <c r="H122" s="114" t="str">
        <f>IF(D6="x","Kontrolle","")</f>
        <v/>
      </c>
      <c r="I122" s="167" t="e">
        <f>IF(D14="x",D114*(F14+F15)-E114-F114+D120-E120-F120,D114-E114-F114+D120-E120-F120)</f>
        <v>#DIV/0!</v>
      </c>
    </row>
    <row r="123" spans="1:9" x14ac:dyDescent="0.3">
      <c r="H123" s="114" t="str">
        <f>IF(D6="x","Kontrolle","")</f>
        <v/>
      </c>
      <c r="I123" s="167" t="e">
        <f>IF(D14="x",D114*(F14+F15)+D120-E122-F122,D122-E122-F122)</f>
        <v>#DIV/0!</v>
      </c>
    </row>
  </sheetData>
  <sheetProtection algorithmName="SHA-512" hashValue="8HvaOdmnhwHnUCEe7V4UGvr876daG8yb9Nw3Ohe+U8BnHNbyxH5U6nR3oQC3tdMDQOmP5jWRXKjC2UJUrCG1YQ==" saltValue="Jx0v4x8pbcRRoXL45hW7SQ==" spinCount="100000" sheet="1" objects="1" scenarios="1"/>
  <mergeCells count="18">
    <mergeCell ref="A5:F5"/>
    <mergeCell ref="D6:D7"/>
    <mergeCell ref="D8:D9"/>
    <mergeCell ref="A6:A9"/>
    <mergeCell ref="F8:F9"/>
    <mergeCell ref="B6:C6"/>
    <mergeCell ref="B8:C8"/>
    <mergeCell ref="A11:F11"/>
    <mergeCell ref="A12:A15"/>
    <mergeCell ref="B12:C12"/>
    <mergeCell ref="D12:D13"/>
    <mergeCell ref="B14:C14"/>
    <mergeCell ref="D14:D15"/>
    <mergeCell ref="B18:C18"/>
    <mergeCell ref="D18:D19"/>
    <mergeCell ref="A18:A19"/>
    <mergeCell ref="A17:F17"/>
    <mergeCell ref="E18:F19"/>
  </mergeCells>
  <conditionalFormatting sqref="I37">
    <cfRule type="expression" dxfId="95" priority="32">
      <formula>$I$37=""</formula>
    </cfRule>
    <cfRule type="expression" dxfId="94" priority="46">
      <formula>OR(I37&lt;-0.0009,I37&gt;0.0009)</formula>
    </cfRule>
  </conditionalFormatting>
  <conditionalFormatting sqref="D6:D7">
    <cfRule type="expression" dxfId="93" priority="38">
      <formula>AND($D$6="x",$D$8="x")</formula>
    </cfRule>
    <cfRule type="expression" dxfId="92" priority="40">
      <formula>$D$8="x"</formula>
    </cfRule>
  </conditionalFormatting>
  <conditionalFormatting sqref="D8:D9">
    <cfRule type="expression" dxfId="91" priority="37">
      <formula>AND($D$6="x",$D$8="x")</formula>
    </cfRule>
    <cfRule type="expression" dxfId="90" priority="39">
      <formula>$D$6="x"</formula>
    </cfRule>
  </conditionalFormatting>
  <conditionalFormatting sqref="F8:F9">
    <cfRule type="expression" dxfId="89" priority="33">
      <formula>AND($D$6="x",$F$8&gt;0)</formula>
    </cfRule>
    <cfRule type="expression" dxfId="88" priority="36">
      <formula>$D$8="x"</formula>
    </cfRule>
  </conditionalFormatting>
  <conditionalFormatting sqref="A65:A67 D65:D67 A73:B76 A80:C82 C83 A88:B90 B104 D24:D29">
    <cfRule type="expression" dxfId="87" priority="35">
      <formula>$D$8="x"</formula>
    </cfRule>
  </conditionalFormatting>
  <conditionalFormatting sqref="I93">
    <cfRule type="expression" dxfId="86" priority="30">
      <formula>$I$37=""</formula>
    </cfRule>
    <cfRule type="expression" dxfId="85" priority="31">
      <formula>OR(I93&lt;-0.0009,I93&gt;0.0009)</formula>
    </cfRule>
  </conditionalFormatting>
  <conditionalFormatting sqref="I122">
    <cfRule type="expression" dxfId="84" priority="28">
      <formula>$I$37=""</formula>
    </cfRule>
    <cfRule type="expression" dxfId="83" priority="29">
      <formula>OR(I122&lt;-0.0009,I122&gt;0.0009)</formula>
    </cfRule>
  </conditionalFormatting>
  <conditionalFormatting sqref="D12:D13">
    <cfRule type="expression" dxfId="82" priority="13">
      <formula>AND($D$6="x",$D$14="")</formula>
    </cfRule>
    <cfRule type="expression" dxfId="81" priority="15">
      <formula>+AND($D$8="X",$D$12="x")</formula>
    </cfRule>
    <cfRule type="expression" dxfId="80" priority="17">
      <formula>+$D$8="x"</formula>
    </cfRule>
    <cfRule type="expression" dxfId="79" priority="22">
      <formula>AND($D$12="x",$D$14="x")</formula>
    </cfRule>
    <cfRule type="expression" dxfId="78" priority="23">
      <formula>$D$14="x"</formula>
    </cfRule>
  </conditionalFormatting>
  <conditionalFormatting sqref="D14:D15">
    <cfRule type="expression" dxfId="77" priority="12">
      <formula>AND($D$6="x",$D$12="")</formula>
    </cfRule>
    <cfRule type="expression" dxfId="76" priority="14">
      <formula>+AND($D$8="x",$D$14="x")</formula>
    </cfRule>
    <cfRule type="expression" dxfId="75" priority="16">
      <formula>AND($D$8="x",$D$12="x")</formula>
    </cfRule>
    <cfRule type="expression" dxfId="74" priority="20">
      <formula>AND($D$12="x",$D$14="x")</formula>
    </cfRule>
    <cfRule type="expression" dxfId="73" priority="21">
      <formula>$D$12="x"</formula>
    </cfRule>
  </conditionalFormatting>
  <conditionalFormatting sqref="I123">
    <cfRule type="expression" dxfId="72" priority="18">
      <formula>$I$37=""</formula>
    </cfRule>
    <cfRule type="expression" dxfId="71" priority="19">
      <formula>OR(I123&lt;-0.0009,I123&gt;0.0009)</formula>
    </cfRule>
  </conditionalFormatting>
  <conditionalFormatting sqref="D18:D19">
    <cfRule type="expression" dxfId="70" priority="10">
      <formula>AND($D$6="x",$D$8="x")</formula>
    </cfRule>
    <cfRule type="expression" dxfId="69" priority="11">
      <formula>$D$8="x"</formula>
    </cfRule>
  </conditionalFormatting>
  <conditionalFormatting sqref="D25">
    <cfRule type="expression" dxfId="68" priority="9">
      <formula>$D$18="x"</formula>
    </cfRule>
  </conditionalFormatting>
  <conditionalFormatting sqref="D29">
    <cfRule type="expression" dxfId="67" priority="7">
      <formula>$D$18="x"</formula>
    </cfRule>
  </conditionalFormatting>
  <conditionalFormatting sqref="D27:D28">
    <cfRule type="expression" dxfId="66" priority="6">
      <formula>$D$18="x"</formula>
    </cfRule>
  </conditionalFormatting>
  <conditionalFormatting sqref="C87">
    <cfRule type="expression" dxfId="65" priority="5">
      <formula>$D$8="x"</formula>
    </cfRule>
  </conditionalFormatting>
  <conditionalFormatting sqref="C89:C90">
    <cfRule type="expression" dxfId="64" priority="4">
      <formula>$D$8="x"</formula>
    </cfRule>
  </conditionalFormatting>
  <conditionalFormatting sqref="F67">
    <cfRule type="expression" dxfId="63" priority="3">
      <formula>$D$8="x"</formula>
    </cfRule>
  </conditionalFormatting>
  <conditionalFormatting sqref="F62">
    <cfRule type="expression" dxfId="62" priority="1">
      <formula>$D$8="x"</formula>
    </cfRule>
  </conditionalFormatting>
  <pageMargins left="0.7" right="0.7" top="0.78740157499999996" bottom="0.78740157499999996" header="0.3" footer="0.3"/>
  <pageSetup paperSize="9" scale="64" fitToWidth="0" fitToHeight="0" orientation="portrait" r:id="rId1"/>
  <rowBreaks count="1" manualBreakCount="1">
    <brk id="57" max="5"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7"/>
  <sheetViews>
    <sheetView zoomScaleNormal="100" workbookViewId="0">
      <selection activeCell="A5" sqref="A5"/>
    </sheetView>
  </sheetViews>
  <sheetFormatPr baseColWidth="10" defaultColWidth="11.44140625" defaultRowHeight="14.4" x14ac:dyDescent="0.3"/>
  <cols>
    <col min="1" max="1" width="22" style="119" customWidth="1"/>
    <col min="2" max="2" width="29.33203125" style="119" customWidth="1"/>
    <col min="3" max="5" width="15.44140625" style="268" customWidth="1"/>
    <col min="6" max="7" width="15.44140625" style="119" customWidth="1"/>
    <col min="8" max="8" width="15.109375" style="119" customWidth="1"/>
    <col min="9" max="9" width="4.88671875" style="64" customWidth="1"/>
    <col min="10" max="10" width="7.6640625" style="119" bestFit="1" customWidth="1"/>
    <col min="11" max="11" width="9.88671875" style="119" customWidth="1"/>
    <col min="12" max="16384" width="11.44140625" style="119"/>
  </cols>
  <sheetData>
    <row r="1" spans="1:10" ht="25.8" x14ac:dyDescent="0.5">
      <c r="A1" s="632" t="s">
        <v>329</v>
      </c>
      <c r="B1" s="633"/>
      <c r="C1" s="634"/>
      <c r="D1" s="634"/>
      <c r="E1" s="634"/>
      <c r="F1" s="633"/>
      <c r="G1" s="633"/>
      <c r="H1" s="635"/>
    </row>
    <row r="2" spans="1:10" ht="25.8" x14ac:dyDescent="0.5">
      <c r="A2" s="636" t="s">
        <v>238</v>
      </c>
      <c r="B2" s="637"/>
      <c r="C2" s="637"/>
      <c r="D2" s="637"/>
      <c r="E2" s="637"/>
      <c r="F2" s="637"/>
      <c r="G2" s="637"/>
      <c r="H2" s="638" t="str">
        <f>+Stammdaten!D2</f>
        <v>Version 1.7</v>
      </c>
    </row>
    <row r="3" spans="1:10" ht="15" thickBot="1" x14ac:dyDescent="0.35">
      <c r="A3" s="343">
        <f>+Stammdaten!B5</f>
        <v>0</v>
      </c>
      <c r="B3" s="1"/>
      <c r="C3" s="1">
        <f>+Stammdaten!B6</f>
        <v>0</v>
      </c>
      <c r="D3" s="1"/>
      <c r="E3" s="1"/>
      <c r="F3" s="639" t="s">
        <v>41</v>
      </c>
      <c r="G3" s="640"/>
      <c r="H3" s="641"/>
      <c r="J3" s="196"/>
    </row>
    <row r="4" spans="1:10" ht="75.75" customHeight="1" thickBot="1" x14ac:dyDescent="0.35">
      <c r="A4" s="1000" t="s">
        <v>342</v>
      </c>
      <c r="B4" s="1001"/>
      <c r="C4" s="1001"/>
      <c r="D4" s="1001"/>
      <c r="E4" s="1001"/>
      <c r="F4" s="1001"/>
      <c r="G4" s="1001"/>
      <c r="H4" s="1002"/>
      <c r="J4" s="319"/>
    </row>
    <row r="5" spans="1:10" x14ac:dyDescent="0.3">
      <c r="A5" s="197"/>
      <c r="B5" s="120"/>
      <c r="C5" s="120"/>
      <c r="D5" s="120"/>
      <c r="E5" s="120"/>
      <c r="F5" s="120"/>
      <c r="G5" s="120"/>
      <c r="H5" s="198"/>
      <c r="J5" s="319"/>
    </row>
    <row r="6" spans="1:10" ht="21" x14ac:dyDescent="0.4">
      <c r="A6" s="642" t="s">
        <v>236</v>
      </c>
      <c r="B6" s="588"/>
      <c r="C6" s="587" t="s">
        <v>158</v>
      </c>
      <c r="D6" s="588"/>
      <c r="E6" s="588"/>
      <c r="F6" s="588"/>
      <c r="G6" s="643"/>
      <c r="H6" s="644"/>
      <c r="J6" s="196"/>
    </row>
    <row r="7" spans="1:10" ht="33" customHeight="1" thickBot="1" x14ac:dyDescent="0.35">
      <c r="A7" s="1032" t="s">
        <v>237</v>
      </c>
      <c r="B7" s="1033"/>
      <c r="C7" s="645" t="s">
        <v>150</v>
      </c>
      <c r="D7" s="645" t="s">
        <v>151</v>
      </c>
      <c r="E7" s="646" t="s">
        <v>131</v>
      </c>
      <c r="F7" s="646" t="s">
        <v>132</v>
      </c>
      <c r="G7" s="647" t="s">
        <v>147</v>
      </c>
      <c r="H7" s="648" t="s">
        <v>133</v>
      </c>
      <c r="J7" s="319"/>
    </row>
    <row r="8" spans="1:10" x14ac:dyDescent="0.3">
      <c r="A8" s="649" t="s">
        <v>138</v>
      </c>
      <c r="B8" s="650"/>
      <c r="C8" s="651" t="s">
        <v>172</v>
      </c>
      <c r="D8" s="652"/>
      <c r="E8" s="652"/>
      <c r="F8" s="652"/>
      <c r="G8" s="652"/>
      <c r="H8" s="653"/>
      <c r="J8" s="196"/>
    </row>
    <row r="9" spans="1:10" x14ac:dyDescent="0.3">
      <c r="A9" s="320" t="s">
        <v>142</v>
      </c>
      <c r="B9" s="321"/>
      <c r="C9" s="322"/>
      <c r="D9" s="322"/>
      <c r="E9" s="323"/>
      <c r="F9" s="323"/>
      <c r="G9" s="324"/>
      <c r="H9" s="344">
        <f>+SUM(C9:G9)</f>
        <v>0</v>
      </c>
      <c r="J9" s="196"/>
    </row>
    <row r="10" spans="1:10" x14ac:dyDescent="0.3">
      <c r="A10" s="320" t="s">
        <v>145</v>
      </c>
      <c r="B10" s="321"/>
      <c r="C10" s="322"/>
      <c r="D10" s="322"/>
      <c r="E10" s="323"/>
      <c r="F10" s="323"/>
      <c r="G10" s="324"/>
      <c r="H10" s="344">
        <f>+SUM(C10:G10)</f>
        <v>0</v>
      </c>
      <c r="J10" s="196"/>
    </row>
    <row r="11" spans="1:10" x14ac:dyDescent="0.3">
      <c r="A11" s="320" t="s">
        <v>144</v>
      </c>
      <c r="B11" s="321"/>
      <c r="C11" s="322"/>
      <c r="D11" s="322"/>
      <c r="E11" s="323"/>
      <c r="F11" s="323"/>
      <c r="G11" s="324"/>
      <c r="H11" s="344">
        <f>+SUM(C11:G11)</f>
        <v>0</v>
      </c>
      <c r="J11" s="196"/>
    </row>
    <row r="12" spans="1:10" x14ac:dyDescent="0.3">
      <c r="A12" s="320" t="s">
        <v>148</v>
      </c>
      <c r="B12" s="321"/>
      <c r="C12" s="322"/>
      <c r="D12" s="322"/>
      <c r="E12" s="323"/>
      <c r="F12" s="323"/>
      <c r="G12" s="324"/>
      <c r="H12" s="344">
        <f>+SUM(C12:G12)</f>
        <v>0</v>
      </c>
      <c r="J12" s="196"/>
    </row>
    <row r="13" spans="1:10" x14ac:dyDescent="0.3">
      <c r="A13" s="320" t="s">
        <v>143</v>
      </c>
      <c r="B13" s="321"/>
      <c r="C13" s="322"/>
      <c r="D13" s="322"/>
      <c r="E13" s="323"/>
      <c r="F13" s="323"/>
      <c r="G13" s="324"/>
      <c r="H13" s="344">
        <f>+SUM(C13:G13)</f>
        <v>0</v>
      </c>
      <c r="J13" s="196"/>
    </row>
    <row r="14" spans="1:10" x14ac:dyDescent="0.3">
      <c r="A14" s="320" t="s">
        <v>149</v>
      </c>
      <c r="B14" s="321"/>
      <c r="C14" s="322"/>
      <c r="D14" s="322"/>
      <c r="E14" s="323"/>
      <c r="F14" s="323"/>
      <c r="G14" s="324"/>
      <c r="H14" s="344">
        <f t="shared" ref="H14:H18" si="0">+SUM(C14:G14)</f>
        <v>0</v>
      </c>
      <c r="J14" s="196"/>
    </row>
    <row r="15" spans="1:10" x14ac:dyDescent="0.3">
      <c r="A15" s="320" t="s">
        <v>146</v>
      </c>
      <c r="B15" s="321"/>
      <c r="C15" s="322"/>
      <c r="D15" s="322"/>
      <c r="E15" s="323"/>
      <c r="F15" s="323"/>
      <c r="G15" s="324"/>
      <c r="H15" s="344">
        <f t="shared" si="0"/>
        <v>0</v>
      </c>
      <c r="J15" s="196"/>
    </row>
    <row r="16" spans="1:10" x14ac:dyDescent="0.3">
      <c r="A16" s="320" t="s">
        <v>141</v>
      </c>
      <c r="B16" s="321"/>
      <c r="C16" s="322"/>
      <c r="D16" s="322"/>
      <c r="E16" s="325"/>
      <c r="F16" s="323"/>
      <c r="G16" s="324"/>
      <c r="H16" s="344">
        <f t="shared" si="0"/>
        <v>0</v>
      </c>
      <c r="J16" s="319"/>
    </row>
    <row r="17" spans="1:11" x14ac:dyDescent="0.3">
      <c r="A17" s="320"/>
      <c r="B17" s="321"/>
      <c r="C17" s="322"/>
      <c r="D17" s="322"/>
      <c r="E17" s="323"/>
      <c r="F17" s="323"/>
      <c r="G17" s="324"/>
      <c r="H17" s="344">
        <f t="shared" si="0"/>
        <v>0</v>
      </c>
      <c r="J17" s="196"/>
    </row>
    <row r="18" spans="1:11" ht="15.9" customHeight="1" thickBot="1" x14ac:dyDescent="0.35">
      <c r="A18" s="326"/>
      <c r="B18" s="327"/>
      <c r="C18" s="328"/>
      <c r="D18" s="328"/>
      <c r="E18" s="329"/>
      <c r="F18" s="329"/>
      <c r="G18" s="330"/>
      <c r="H18" s="344">
        <f t="shared" si="0"/>
        <v>0</v>
      </c>
      <c r="J18" s="196"/>
    </row>
    <row r="19" spans="1:11" ht="15.6" thickTop="1" thickBot="1" x14ac:dyDescent="0.35">
      <c r="A19" s="879" t="s">
        <v>139</v>
      </c>
      <c r="B19" s="880"/>
      <c r="C19" s="346">
        <f t="shared" ref="C19:H19" si="1">+SUM(C9:C18)</f>
        <v>0</v>
      </c>
      <c r="D19" s="346">
        <f t="shared" si="1"/>
        <v>0</v>
      </c>
      <c r="E19" s="346">
        <f t="shared" si="1"/>
        <v>0</v>
      </c>
      <c r="F19" s="346">
        <f t="shared" si="1"/>
        <v>0</v>
      </c>
      <c r="G19" s="346">
        <f t="shared" si="1"/>
        <v>0</v>
      </c>
      <c r="H19" s="345">
        <f t="shared" si="1"/>
        <v>0</v>
      </c>
      <c r="J19" s="196"/>
    </row>
    <row r="20" spans="1:11" x14ac:dyDescent="0.3">
      <c r="A20" s="649" t="s">
        <v>140</v>
      </c>
      <c r="B20" s="650"/>
      <c r="C20" s="651" t="s">
        <v>172</v>
      </c>
      <c r="D20" s="652"/>
      <c r="E20" s="652"/>
      <c r="F20" s="652"/>
      <c r="G20" s="652"/>
      <c r="H20" s="653"/>
      <c r="J20" s="196"/>
    </row>
    <row r="21" spans="1:11" x14ac:dyDescent="0.3">
      <c r="A21" s="320" t="s">
        <v>134</v>
      </c>
      <c r="B21" s="321"/>
      <c r="C21" s="322"/>
      <c r="D21" s="322"/>
      <c r="E21" s="323"/>
      <c r="F21" s="323"/>
      <c r="G21" s="324"/>
      <c r="H21" s="344">
        <f t="shared" ref="H21:H27" si="2">+SUM(C21:G21)</f>
        <v>0</v>
      </c>
      <c r="J21" s="196"/>
    </row>
    <row r="22" spans="1:11" x14ac:dyDescent="0.3">
      <c r="A22" s="320" t="s">
        <v>135</v>
      </c>
      <c r="B22" s="321"/>
      <c r="C22" s="322"/>
      <c r="D22" s="322"/>
      <c r="E22" s="323"/>
      <c r="F22" s="323"/>
      <c r="G22" s="324"/>
      <c r="H22" s="344">
        <f t="shared" si="2"/>
        <v>0</v>
      </c>
      <c r="J22" s="196"/>
    </row>
    <row r="23" spans="1:11" x14ac:dyDescent="0.3">
      <c r="A23" s="320" t="s">
        <v>136</v>
      </c>
      <c r="B23" s="321"/>
      <c r="C23" s="322"/>
      <c r="D23" s="322"/>
      <c r="E23" s="323"/>
      <c r="F23" s="323"/>
      <c r="G23" s="324"/>
      <c r="H23" s="344">
        <f t="shared" si="2"/>
        <v>0</v>
      </c>
      <c r="J23" s="196"/>
    </row>
    <row r="24" spans="1:11" x14ac:dyDescent="0.3">
      <c r="A24" s="331" t="s">
        <v>141</v>
      </c>
      <c r="B24" s="332"/>
      <c r="C24" s="333"/>
      <c r="D24" s="333"/>
      <c r="E24" s="334"/>
      <c r="F24" s="334"/>
      <c r="G24" s="335"/>
      <c r="H24" s="344">
        <f t="shared" si="2"/>
        <v>0</v>
      </c>
      <c r="J24" s="196"/>
    </row>
    <row r="25" spans="1:11" x14ac:dyDescent="0.3">
      <c r="A25" s="331"/>
      <c r="B25" s="332"/>
      <c r="C25" s="333"/>
      <c r="D25" s="333"/>
      <c r="E25" s="334"/>
      <c r="F25" s="334"/>
      <c r="G25" s="335"/>
      <c r="H25" s="344">
        <f t="shared" si="2"/>
        <v>0</v>
      </c>
      <c r="J25" s="196"/>
    </row>
    <row r="26" spans="1:11" x14ac:dyDescent="0.3">
      <c r="A26" s="331"/>
      <c r="B26" s="332"/>
      <c r="C26" s="333"/>
      <c r="D26" s="333"/>
      <c r="E26" s="334"/>
      <c r="F26" s="334"/>
      <c r="G26" s="335"/>
      <c r="H26" s="344">
        <f t="shared" si="2"/>
        <v>0</v>
      </c>
      <c r="J26" s="196"/>
    </row>
    <row r="27" spans="1:11" ht="15.9" customHeight="1" thickBot="1" x14ac:dyDescent="0.35">
      <c r="A27" s="326"/>
      <c r="B27" s="327"/>
      <c r="C27" s="328"/>
      <c r="D27" s="328"/>
      <c r="E27" s="329"/>
      <c r="F27" s="329"/>
      <c r="G27" s="330"/>
      <c r="H27" s="349">
        <f t="shared" si="2"/>
        <v>0</v>
      </c>
      <c r="J27" s="196"/>
    </row>
    <row r="28" spans="1:11" ht="17.100000000000001" customHeight="1" thickTop="1" thickBot="1" x14ac:dyDescent="0.35">
      <c r="A28" s="879" t="s">
        <v>137</v>
      </c>
      <c r="B28" s="880"/>
      <c r="C28" s="346">
        <f t="shared" ref="C28:H28" si="3">+SUM(C21:C27)</f>
        <v>0</v>
      </c>
      <c r="D28" s="346">
        <f t="shared" si="3"/>
        <v>0</v>
      </c>
      <c r="E28" s="346">
        <f t="shared" si="3"/>
        <v>0</v>
      </c>
      <c r="F28" s="346">
        <f t="shared" si="3"/>
        <v>0</v>
      </c>
      <c r="G28" s="346">
        <f t="shared" si="3"/>
        <v>0</v>
      </c>
      <c r="H28" s="345">
        <f t="shared" si="3"/>
        <v>0</v>
      </c>
      <c r="J28" s="196"/>
    </row>
    <row r="29" spans="1:11" ht="15" thickBot="1" x14ac:dyDescent="0.35">
      <c r="A29" s="881" t="s">
        <v>152</v>
      </c>
      <c r="B29" s="783"/>
      <c r="C29" s="347">
        <f>+C28+C19</f>
        <v>0</v>
      </c>
      <c r="D29" s="347">
        <f>+D28+D19</f>
        <v>0</v>
      </c>
      <c r="E29" s="347">
        <f>+E28+E19</f>
        <v>0</v>
      </c>
      <c r="F29" s="347">
        <f>+F28+F19</f>
        <v>0</v>
      </c>
      <c r="G29" s="347">
        <f>+G28+G19</f>
        <v>0</v>
      </c>
      <c r="H29" s="348">
        <f>SUM(C29:G29)</f>
        <v>0</v>
      </c>
      <c r="J29" s="113" t="s">
        <v>6</v>
      </c>
      <c r="K29" s="167">
        <f>+H29-H28-H19</f>
        <v>0</v>
      </c>
    </row>
    <row r="30" spans="1:11" x14ac:dyDescent="0.3">
      <c r="A30" s="197"/>
      <c r="B30" s="120"/>
      <c r="C30" s="120"/>
      <c r="D30" s="120"/>
      <c r="E30" s="120"/>
      <c r="F30" s="120"/>
      <c r="G30" s="120"/>
      <c r="H30" s="198"/>
      <c r="J30" s="196"/>
    </row>
    <row r="31" spans="1:11" ht="21" x14ac:dyDescent="0.4">
      <c r="A31" s="642" t="s">
        <v>235</v>
      </c>
      <c r="B31" s="843"/>
      <c r="C31" s="844"/>
      <c r="D31" s="235"/>
      <c r="E31" s="120"/>
      <c r="F31" s="120"/>
      <c r="G31" s="120"/>
      <c r="H31" s="198"/>
      <c r="J31" s="196"/>
    </row>
    <row r="32" spans="1:11" x14ac:dyDescent="0.3">
      <c r="A32" s="579" t="s">
        <v>71</v>
      </c>
      <c r="B32" s="32" t="s">
        <v>175</v>
      </c>
      <c r="C32" s="237"/>
      <c r="D32" s="238"/>
      <c r="E32" s="120"/>
      <c r="F32" s="120"/>
      <c r="G32" s="120"/>
      <c r="H32" s="198"/>
      <c r="J32" s="196"/>
    </row>
    <row r="33" spans="1:10" x14ac:dyDescent="0.3">
      <c r="A33" s="240" t="s">
        <v>83</v>
      </c>
      <c r="B33" s="241"/>
      <c r="C33" s="242"/>
      <c r="D33" s="243"/>
      <c r="E33" s="120"/>
      <c r="F33" s="120"/>
      <c r="G33" s="120"/>
      <c r="H33" s="198"/>
      <c r="J33" s="196"/>
    </row>
    <row r="34" spans="1:10" x14ac:dyDescent="0.3">
      <c r="A34" s="240" t="s">
        <v>84</v>
      </c>
      <c r="B34" s="241"/>
      <c r="C34" s="242"/>
      <c r="D34" s="243"/>
      <c r="E34" s="120"/>
      <c r="F34" s="120"/>
      <c r="G34" s="120"/>
      <c r="H34" s="198"/>
      <c r="J34" s="196"/>
    </row>
    <row r="35" spans="1:10" x14ac:dyDescent="0.3">
      <c r="A35" s="240" t="s">
        <v>85</v>
      </c>
      <c r="B35" s="241"/>
      <c r="C35" s="245"/>
      <c r="D35" s="243"/>
      <c r="E35" s="120"/>
      <c r="F35" s="120"/>
      <c r="G35" s="120"/>
      <c r="H35" s="198"/>
      <c r="J35" s="196"/>
    </row>
    <row r="36" spans="1:10" x14ac:dyDescent="0.3">
      <c r="A36" s="882" t="s">
        <v>71</v>
      </c>
      <c r="B36" s="285">
        <f>SUM(B33:B35)</f>
        <v>0</v>
      </c>
      <c r="C36" s="242"/>
      <c r="D36" s="243"/>
      <c r="E36" s="120"/>
      <c r="F36" s="120"/>
      <c r="G36" s="120"/>
      <c r="H36" s="198"/>
      <c r="J36" s="196"/>
    </row>
    <row r="37" spans="1:10" x14ac:dyDescent="0.3">
      <c r="A37" s="68"/>
      <c r="B37" s="246"/>
      <c r="C37" s="195"/>
      <c r="D37" s="247"/>
      <c r="E37" s="120"/>
      <c r="F37" s="120"/>
      <c r="G37" s="120"/>
      <c r="H37" s="198"/>
      <c r="J37" s="196"/>
    </row>
    <row r="38" spans="1:10" x14ac:dyDescent="0.3">
      <c r="A38" s="579" t="s">
        <v>89</v>
      </c>
      <c r="B38" s="32" t="s">
        <v>175</v>
      </c>
      <c r="C38" s="857" t="s">
        <v>169</v>
      </c>
      <c r="D38" s="238"/>
      <c r="E38" s="120"/>
      <c r="F38" s="120"/>
      <c r="G38" s="120"/>
      <c r="H38" s="198"/>
      <c r="J38" s="196"/>
    </row>
    <row r="39" spans="1:10" x14ac:dyDescent="0.3">
      <c r="A39" s="248" t="s">
        <v>95</v>
      </c>
      <c r="B39" s="207"/>
      <c r="C39" s="249"/>
      <c r="D39" s="289">
        <f>B39*C39</f>
        <v>0</v>
      </c>
      <c r="E39" s="120"/>
      <c r="F39" s="120"/>
      <c r="G39" s="120"/>
      <c r="H39" s="198"/>
      <c r="J39" s="196"/>
    </row>
    <row r="40" spans="1:10" x14ac:dyDescent="0.3">
      <c r="A40" s="248" t="s">
        <v>96</v>
      </c>
      <c r="B40" s="207"/>
      <c r="C40" s="249"/>
      <c r="D40" s="289">
        <f>B40*C40</f>
        <v>0</v>
      </c>
      <c r="E40" s="120"/>
      <c r="F40" s="120"/>
      <c r="G40" s="120"/>
      <c r="H40" s="198"/>
      <c r="J40" s="196"/>
    </row>
    <row r="41" spans="1:10" x14ac:dyDescent="0.3">
      <c r="A41" s="858" t="s">
        <v>60</v>
      </c>
      <c r="B41" s="286">
        <f>+C29</f>
        <v>0</v>
      </c>
      <c r="C41" s="249"/>
      <c r="D41" s="289">
        <f>B41*C41</f>
        <v>0</v>
      </c>
      <c r="E41" s="120"/>
      <c r="F41" s="120"/>
      <c r="G41" s="120"/>
      <c r="H41" s="198"/>
      <c r="J41" s="196"/>
    </row>
    <row r="42" spans="1:10" x14ac:dyDescent="0.3">
      <c r="A42" s="240" t="s">
        <v>97</v>
      </c>
      <c r="B42" s="207"/>
      <c r="C42" s="249"/>
      <c r="D42" s="289">
        <f>B42*C42</f>
        <v>0</v>
      </c>
      <c r="E42" s="120"/>
      <c r="F42" s="120"/>
      <c r="G42" s="120"/>
      <c r="H42" s="198"/>
      <c r="J42" s="196"/>
    </row>
    <row r="43" spans="1:10" x14ac:dyDescent="0.3">
      <c r="A43" s="882" t="s">
        <v>90</v>
      </c>
      <c r="B43" s="285">
        <f>SUM(B39:B42)</f>
        <v>0</v>
      </c>
      <c r="C43" s="288" t="e">
        <f>((B41*C41)+(B39*C39)+(B42*C42)+(B40*C40))/B43</f>
        <v>#DIV/0!</v>
      </c>
      <c r="D43" s="290">
        <f>SUM(D39:D42)</f>
        <v>0</v>
      </c>
      <c r="E43" s="120"/>
      <c r="F43" s="120"/>
      <c r="G43" s="120"/>
      <c r="H43" s="198"/>
      <c r="J43" s="196"/>
    </row>
    <row r="44" spans="1:10" x14ac:dyDescent="0.3">
      <c r="A44" s="68"/>
      <c r="B44" s="120"/>
      <c r="C44" s="195"/>
      <c r="D44" s="228"/>
      <c r="E44" s="120"/>
      <c r="F44" s="120"/>
      <c r="G44" s="120"/>
      <c r="H44" s="198"/>
      <c r="J44" s="196"/>
    </row>
    <row r="45" spans="1:10" x14ac:dyDescent="0.3">
      <c r="A45" s="579" t="s">
        <v>91</v>
      </c>
      <c r="B45" s="32" t="s">
        <v>175</v>
      </c>
      <c r="C45" s="857" t="s">
        <v>169</v>
      </c>
      <c r="D45" s="250"/>
      <c r="E45" s="120"/>
      <c r="F45" s="120"/>
      <c r="G45" s="120"/>
      <c r="H45" s="198"/>
      <c r="J45" s="196"/>
    </row>
    <row r="46" spans="1:10" x14ac:dyDescent="0.3">
      <c r="A46" s="859" t="s">
        <v>91</v>
      </c>
      <c r="B46" s="291">
        <f>+H29-B36-B43-B47-B48-B49</f>
        <v>0</v>
      </c>
      <c r="C46" s="287">
        <f>+'B_1 Geb. Kaltmiete'!C87</f>
        <v>1.4999999999999999E-2</v>
      </c>
      <c r="D46" s="292">
        <f>B46*C46</f>
        <v>0</v>
      </c>
      <c r="E46" s="120"/>
      <c r="F46" s="120"/>
      <c r="G46" s="120"/>
      <c r="H46" s="198"/>
      <c r="J46" s="196"/>
    </row>
    <row r="47" spans="1:10" x14ac:dyDescent="0.3">
      <c r="A47" s="240" t="s">
        <v>94</v>
      </c>
      <c r="B47" s="241"/>
      <c r="C47" s="287">
        <v>0</v>
      </c>
      <c r="D47" s="292">
        <f>B47*C47</f>
        <v>0</v>
      </c>
      <c r="E47" s="120"/>
      <c r="F47" s="120"/>
      <c r="G47" s="120"/>
      <c r="H47" s="198"/>
      <c r="J47" s="196"/>
    </row>
    <row r="48" spans="1:10" x14ac:dyDescent="0.3">
      <c r="A48" s="240" t="s">
        <v>85</v>
      </c>
      <c r="B48" s="241"/>
      <c r="C48" s="287">
        <f>+C46</f>
        <v>1.4999999999999999E-2</v>
      </c>
      <c r="D48" s="292">
        <f>B48*C48</f>
        <v>0</v>
      </c>
      <c r="E48" s="120"/>
      <c r="F48" s="120"/>
      <c r="G48" s="120"/>
      <c r="H48" s="198"/>
      <c r="J48" s="196"/>
    </row>
    <row r="49" spans="1:10" x14ac:dyDescent="0.3">
      <c r="A49" s="248" t="s">
        <v>97</v>
      </c>
      <c r="B49" s="241"/>
      <c r="C49" s="287">
        <f>+C46</f>
        <v>1.4999999999999999E-2</v>
      </c>
      <c r="D49" s="292">
        <f>B49*C49</f>
        <v>0</v>
      </c>
      <c r="E49" s="120"/>
      <c r="F49" s="120"/>
      <c r="G49" s="120"/>
      <c r="H49" s="198"/>
      <c r="J49" s="196"/>
    </row>
    <row r="50" spans="1:10" x14ac:dyDescent="0.3">
      <c r="A50" s="882" t="s">
        <v>92</v>
      </c>
      <c r="B50" s="285">
        <f>SUM(B46:B49)</f>
        <v>0</v>
      </c>
      <c r="C50" s="860"/>
      <c r="D50" s="293">
        <f>SUM(D46:D49)</f>
        <v>0</v>
      </c>
      <c r="E50" s="120"/>
      <c r="F50" s="120"/>
      <c r="G50" s="120"/>
      <c r="H50" s="198"/>
      <c r="J50" s="196"/>
    </row>
    <row r="51" spans="1:10" x14ac:dyDescent="0.3">
      <c r="A51" s="883"/>
      <c r="B51" s="884"/>
      <c r="C51" s="885"/>
      <c r="D51" s="886"/>
      <c r="E51" s="120"/>
      <c r="F51" s="120"/>
      <c r="G51" s="120"/>
      <c r="H51" s="198"/>
      <c r="J51" s="196"/>
    </row>
    <row r="52" spans="1:10" x14ac:dyDescent="0.3">
      <c r="A52" s="840" t="s">
        <v>93</v>
      </c>
      <c r="B52" s="294">
        <f>+B36+B43+B50</f>
        <v>0</v>
      </c>
      <c r="C52" s="597"/>
      <c r="D52" s="269">
        <f>D50+D43</f>
        <v>0</v>
      </c>
      <c r="E52" s="120"/>
      <c r="F52" s="120"/>
      <c r="G52" s="120"/>
      <c r="H52" s="198"/>
      <c r="J52" s="196"/>
    </row>
    <row r="53" spans="1:10" x14ac:dyDescent="0.3">
      <c r="A53" s="197"/>
      <c r="B53" s="120"/>
      <c r="C53" s="120"/>
      <c r="D53" s="120"/>
      <c r="E53" s="120"/>
      <c r="F53" s="120"/>
      <c r="G53" s="120"/>
      <c r="H53" s="198"/>
      <c r="J53" s="196"/>
    </row>
    <row r="54" spans="1:10" ht="21" x14ac:dyDescent="0.4">
      <c r="A54" s="642" t="s">
        <v>234</v>
      </c>
      <c r="B54" s="843"/>
      <c r="C54" s="844"/>
      <c r="D54" s="277"/>
      <c r="E54" s="120"/>
      <c r="F54" s="120"/>
      <c r="G54" s="120"/>
      <c r="H54" s="198"/>
      <c r="J54" s="196"/>
    </row>
    <row r="55" spans="1:10" x14ac:dyDescent="0.3">
      <c r="A55" s="579" t="s">
        <v>174</v>
      </c>
      <c r="B55" s="3"/>
      <c r="C55" s="3"/>
      <c r="D55" s="32" t="s">
        <v>290</v>
      </c>
      <c r="E55" s="120"/>
      <c r="F55" s="120"/>
      <c r="G55" s="120"/>
      <c r="H55" s="198"/>
      <c r="J55" s="196"/>
    </row>
    <row r="56" spans="1:10" x14ac:dyDescent="0.3">
      <c r="A56" s="248" t="s">
        <v>83</v>
      </c>
      <c r="B56" s="498"/>
      <c r="C56" s="549"/>
      <c r="D56" s="207"/>
      <c r="E56" s="120"/>
      <c r="F56" s="120"/>
      <c r="G56" s="120"/>
      <c r="H56" s="198"/>
      <c r="J56" s="196"/>
    </row>
    <row r="57" spans="1:10" x14ac:dyDescent="0.3">
      <c r="A57" s="248" t="s">
        <v>84</v>
      </c>
      <c r="B57" s="498"/>
      <c r="C57" s="549"/>
      <c r="D57" s="207"/>
      <c r="E57" s="120"/>
      <c r="F57" s="120"/>
      <c r="G57" s="120"/>
      <c r="H57" s="198"/>
      <c r="J57" s="196"/>
    </row>
    <row r="58" spans="1:10" x14ac:dyDescent="0.3">
      <c r="A58" s="248" t="s">
        <v>85</v>
      </c>
      <c r="B58" s="498"/>
      <c r="C58" s="122"/>
      <c r="D58" s="207"/>
      <c r="E58" s="120"/>
      <c r="F58" s="120"/>
      <c r="G58" s="120"/>
      <c r="H58" s="198"/>
      <c r="J58" s="196"/>
    </row>
    <row r="59" spans="1:10" x14ac:dyDescent="0.3">
      <c r="A59" s="882" t="s">
        <v>10</v>
      </c>
      <c r="B59" s="887"/>
      <c r="C59" s="431"/>
      <c r="D59" s="430">
        <f>SUM(D56:D58)</f>
        <v>0</v>
      </c>
      <c r="E59" s="120"/>
      <c r="F59" s="120"/>
      <c r="G59" s="120"/>
      <c r="H59" s="198"/>
      <c r="J59" s="196"/>
    </row>
    <row r="60" spans="1:10" x14ac:dyDescent="0.3">
      <c r="A60" s="68"/>
      <c r="B60" s="120"/>
      <c r="C60" s="120"/>
      <c r="D60" s="263"/>
      <c r="E60" s="120"/>
      <c r="F60" s="120"/>
      <c r="G60" s="120"/>
      <c r="H60" s="198"/>
      <c r="J60" s="196"/>
    </row>
    <row r="61" spans="1:10" x14ac:dyDescent="0.3">
      <c r="A61" s="579" t="s">
        <v>86</v>
      </c>
      <c r="B61" s="3"/>
      <c r="C61" s="3"/>
      <c r="D61" s="32" t="s">
        <v>290</v>
      </c>
      <c r="E61" s="120"/>
      <c r="F61" s="120"/>
      <c r="G61" s="120"/>
      <c r="H61" s="198"/>
      <c r="J61" s="196"/>
    </row>
    <row r="62" spans="1:10" x14ac:dyDescent="0.3">
      <c r="A62" s="248" t="s">
        <v>83</v>
      </c>
      <c r="B62" s="498"/>
      <c r="C62" s="549"/>
      <c r="D62" s="207"/>
      <c r="E62" s="120"/>
      <c r="F62" s="120"/>
      <c r="G62" s="120"/>
      <c r="H62" s="198"/>
      <c r="J62" s="196"/>
    </row>
    <row r="63" spans="1:10" x14ac:dyDescent="0.3">
      <c r="A63" s="248" t="s">
        <v>84</v>
      </c>
      <c r="B63" s="498"/>
      <c r="C63" s="549"/>
      <c r="D63" s="207"/>
      <c r="E63" s="120"/>
      <c r="F63" s="120"/>
      <c r="G63" s="120"/>
      <c r="H63" s="198"/>
      <c r="J63" s="196"/>
    </row>
    <row r="64" spans="1:10" x14ac:dyDescent="0.3">
      <c r="A64" s="248" t="s">
        <v>85</v>
      </c>
      <c r="B64" s="498"/>
      <c r="C64" s="122"/>
      <c r="D64" s="207"/>
      <c r="E64" s="120"/>
      <c r="F64" s="120"/>
      <c r="G64" s="120"/>
      <c r="H64" s="198"/>
      <c r="J64" s="196"/>
    </row>
    <row r="65" spans="1:11" x14ac:dyDescent="0.3">
      <c r="A65" s="882" t="s">
        <v>10</v>
      </c>
      <c r="B65" s="887"/>
      <c r="C65" s="431"/>
      <c r="D65" s="430">
        <f>SUM(D62:D64)</f>
        <v>0</v>
      </c>
      <c r="E65" s="120"/>
      <c r="F65" s="120"/>
      <c r="G65" s="120"/>
      <c r="H65" s="198"/>
      <c r="J65" s="196"/>
    </row>
    <row r="66" spans="1:11" x14ac:dyDescent="0.3">
      <c r="A66" s="115"/>
      <c r="B66" s="535"/>
      <c r="C66" s="535"/>
      <c r="D66" s="888"/>
      <c r="E66" s="120"/>
      <c r="F66" s="120"/>
      <c r="G66" s="120"/>
      <c r="H66" s="198"/>
      <c r="J66" s="196"/>
    </row>
    <row r="67" spans="1:11" x14ac:dyDescent="0.3">
      <c r="A67" s="596" t="s">
        <v>87</v>
      </c>
      <c r="B67" s="597"/>
      <c r="C67" s="597"/>
      <c r="D67" s="269">
        <f>D65+D59</f>
        <v>0</v>
      </c>
      <c r="E67" s="120"/>
      <c r="F67" s="120"/>
      <c r="G67" s="120"/>
      <c r="H67" s="198"/>
      <c r="J67" s="196"/>
    </row>
    <row r="68" spans="1:11" x14ac:dyDescent="0.3">
      <c r="A68" s="197"/>
      <c r="B68" s="120"/>
      <c r="C68" s="120"/>
      <c r="D68" s="120"/>
      <c r="E68" s="120"/>
      <c r="F68" s="120"/>
      <c r="G68" s="120"/>
      <c r="H68" s="198"/>
      <c r="J68" s="196"/>
    </row>
    <row r="69" spans="1:11" x14ac:dyDescent="0.3">
      <c r="A69" s="197"/>
      <c r="B69" s="120"/>
      <c r="C69" s="120"/>
      <c r="D69" s="120"/>
      <c r="E69" s="120"/>
      <c r="F69" s="120"/>
      <c r="G69" s="120"/>
      <c r="H69" s="198"/>
      <c r="J69" s="196"/>
    </row>
    <row r="70" spans="1:11" ht="21" x14ac:dyDescent="0.4">
      <c r="A70" s="889" t="s">
        <v>214</v>
      </c>
      <c r="B70" s="850"/>
      <c r="C70" s="850"/>
      <c r="D70" s="890" t="s">
        <v>17</v>
      </c>
      <c r="E70" s="890" t="s">
        <v>114</v>
      </c>
      <c r="F70" s="120"/>
      <c r="G70" s="120"/>
      <c r="H70" s="198"/>
      <c r="J70" s="196"/>
    </row>
    <row r="71" spans="1:11" x14ac:dyDescent="0.3">
      <c r="A71" s="583" t="s">
        <v>242</v>
      </c>
      <c r="B71" s="762"/>
      <c r="C71" s="711"/>
      <c r="D71" s="336"/>
      <c r="E71" s="350">
        <f>IF(D71&gt;0,D71/D71,1)</f>
        <v>1</v>
      </c>
      <c r="F71" s="120"/>
      <c r="G71" s="120"/>
      <c r="H71" s="198"/>
      <c r="I71" s="405" t="str">
        <f>+IF(AND(D72&gt;D71,D71&gt;0),"Achtung: Die Gesamtzahl der Plätze muss größer sein als die Platzzahl des hier berechneten Angebots","")</f>
        <v/>
      </c>
      <c r="J71" s="196"/>
    </row>
    <row r="72" spans="1:11" x14ac:dyDescent="0.3">
      <c r="A72" s="343" t="s">
        <v>215</v>
      </c>
      <c r="B72" s="891"/>
      <c r="C72" s="353">
        <f>+Stammdaten!B5</f>
        <v>0</v>
      </c>
      <c r="D72" s="352">
        <f>+Stammdaten!B7</f>
        <v>0</v>
      </c>
      <c r="E72" s="351">
        <f>IF(D71&gt;0,D72/D71,0)</f>
        <v>0</v>
      </c>
      <c r="F72" s="120"/>
      <c r="G72" s="120"/>
      <c r="H72" s="198"/>
      <c r="J72" s="196"/>
    </row>
    <row r="73" spans="1:11" x14ac:dyDescent="0.3">
      <c r="A73" s="338"/>
      <c r="B73" s="75"/>
      <c r="C73" s="339"/>
      <c r="D73" s="118"/>
      <c r="E73" s="120"/>
      <c r="F73" s="120"/>
      <c r="G73" s="120"/>
      <c r="H73" s="198"/>
      <c r="J73" s="196"/>
    </row>
    <row r="74" spans="1:11" x14ac:dyDescent="0.3">
      <c r="A74" s="236"/>
      <c r="B74" s="79"/>
      <c r="C74" s="120"/>
      <c r="D74" s="120"/>
      <c r="E74" s="120"/>
      <c r="F74" s="120"/>
      <c r="G74" s="120"/>
      <c r="H74" s="198"/>
      <c r="J74" s="196"/>
    </row>
    <row r="75" spans="1:11" ht="21" x14ac:dyDescent="0.4">
      <c r="A75" s="892" t="s">
        <v>232</v>
      </c>
      <c r="B75" s="893">
        <f>+Stammdaten!B5</f>
        <v>0</v>
      </c>
      <c r="C75" s="535"/>
      <c r="D75" s="535"/>
      <c r="E75" s="120"/>
      <c r="F75" s="120"/>
      <c r="G75" s="120"/>
      <c r="H75" s="198"/>
      <c r="J75" s="196"/>
    </row>
    <row r="76" spans="1:11" ht="18" x14ac:dyDescent="0.35">
      <c r="A76" s="596" t="s">
        <v>276</v>
      </c>
      <c r="B76" s="887"/>
      <c r="C76" s="872"/>
      <c r="D76" s="873"/>
      <c r="E76" s="120"/>
      <c r="F76" s="120"/>
      <c r="G76" s="120"/>
      <c r="H76" s="198"/>
      <c r="J76" s="203"/>
    </row>
    <row r="77" spans="1:11" ht="15.6" x14ac:dyDescent="0.3">
      <c r="A77" s="115"/>
      <c r="B77" s="838"/>
      <c r="C77" s="839"/>
      <c r="D77" s="894"/>
      <c r="E77" s="120"/>
      <c r="F77" s="120"/>
      <c r="G77" s="120"/>
      <c r="H77" s="198"/>
    </row>
    <row r="78" spans="1:11" x14ac:dyDescent="0.3">
      <c r="A78" s="840" t="s">
        <v>58</v>
      </c>
      <c r="B78" s="597"/>
      <c r="C78" s="597"/>
      <c r="D78" s="295"/>
      <c r="E78" s="120"/>
      <c r="F78" s="120"/>
      <c r="G78" s="120"/>
      <c r="H78" s="198"/>
    </row>
    <row r="79" spans="1:11" x14ac:dyDescent="0.3">
      <c r="A79" s="31" t="s">
        <v>59</v>
      </c>
      <c r="B79" s="3" t="s">
        <v>60</v>
      </c>
      <c r="C79" s="3"/>
      <c r="D79" s="274">
        <f>+C29*E72</f>
        <v>0</v>
      </c>
      <c r="E79" s="120"/>
      <c r="F79" s="120"/>
      <c r="G79" s="120"/>
      <c r="H79" s="208"/>
      <c r="J79" s="83"/>
      <c r="K79" s="83"/>
    </row>
    <row r="80" spans="1:11" x14ac:dyDescent="0.3">
      <c r="A80" s="31" t="s">
        <v>61</v>
      </c>
      <c r="B80" s="3" t="s">
        <v>62</v>
      </c>
      <c r="C80" s="3"/>
      <c r="D80" s="274">
        <f>+D29*E72</f>
        <v>0</v>
      </c>
      <c r="E80" s="120"/>
      <c r="F80" s="120"/>
      <c r="G80" s="120"/>
      <c r="H80" s="208"/>
      <c r="J80" s="83"/>
      <c r="K80" s="83"/>
    </row>
    <row r="81" spans="1:11" x14ac:dyDescent="0.3">
      <c r="A81" s="748" t="s">
        <v>63</v>
      </c>
      <c r="B81" s="37" t="s">
        <v>64</v>
      </c>
      <c r="C81" s="895"/>
      <c r="D81" s="274">
        <f>+E29*E72</f>
        <v>0</v>
      </c>
      <c r="E81" s="195"/>
      <c r="F81" s="195"/>
      <c r="G81" s="120"/>
      <c r="H81" s="208"/>
      <c r="J81" s="83"/>
      <c r="K81" s="83"/>
    </row>
    <row r="82" spans="1:11" x14ac:dyDescent="0.3">
      <c r="A82" s="748" t="s">
        <v>65</v>
      </c>
      <c r="B82" s="37" t="s">
        <v>66</v>
      </c>
      <c r="C82" s="895"/>
      <c r="D82" s="274">
        <f>+F29*E72</f>
        <v>0</v>
      </c>
      <c r="E82" s="195"/>
      <c r="F82" s="195"/>
      <c r="G82" s="120"/>
      <c r="H82" s="208"/>
      <c r="J82" s="83"/>
      <c r="K82" s="83"/>
    </row>
    <row r="83" spans="1:11" x14ac:dyDescent="0.3">
      <c r="A83" s="31" t="s">
        <v>67</v>
      </c>
      <c r="B83" s="3" t="s">
        <v>68</v>
      </c>
      <c r="C83" s="3"/>
      <c r="D83" s="274">
        <f>+G29*E72</f>
        <v>0</v>
      </c>
      <c r="E83" s="120"/>
      <c r="F83" s="120"/>
      <c r="G83" s="120"/>
      <c r="H83" s="208"/>
      <c r="J83" s="209"/>
      <c r="K83" s="83"/>
    </row>
    <row r="84" spans="1:11" ht="15.6" x14ac:dyDescent="0.3">
      <c r="A84" s="842" t="s">
        <v>69</v>
      </c>
      <c r="B84" s="843"/>
      <c r="C84" s="844"/>
      <c r="D84" s="269">
        <f>SUM(D79:D83)</f>
        <v>0</v>
      </c>
      <c r="E84" s="120"/>
      <c r="F84" s="120"/>
      <c r="G84" s="120"/>
      <c r="H84" s="198"/>
      <c r="J84" s="113" t="s">
        <v>6</v>
      </c>
      <c r="K84" s="167">
        <f>+H29*E72-D84</f>
        <v>0</v>
      </c>
    </row>
    <row r="85" spans="1:11" ht="15.6" x14ac:dyDescent="0.3">
      <c r="A85" s="896"/>
      <c r="B85" s="838"/>
      <c r="C85" s="839"/>
      <c r="D85" s="897"/>
      <c r="E85" s="120"/>
      <c r="F85" s="120"/>
      <c r="G85" s="120"/>
      <c r="H85" s="198"/>
      <c r="J85" s="210"/>
      <c r="K85" s="83"/>
    </row>
    <row r="86" spans="1:11" ht="15.6" x14ac:dyDescent="0.3">
      <c r="A86" s="842" t="s">
        <v>70</v>
      </c>
      <c r="B86" s="843"/>
      <c r="C86" s="844"/>
      <c r="D86" s="277"/>
      <c r="E86" s="120"/>
      <c r="F86" s="120"/>
      <c r="G86" s="120"/>
      <c r="H86" s="208"/>
      <c r="J86" s="83"/>
      <c r="K86" s="83"/>
    </row>
    <row r="87" spans="1:11" x14ac:dyDescent="0.3">
      <c r="A87" s="31"/>
      <c r="B87" s="3"/>
      <c r="C87" s="845"/>
      <c r="D87" s="274"/>
      <c r="E87" s="120"/>
      <c r="F87" s="120"/>
      <c r="G87" s="120"/>
      <c r="H87" s="208"/>
      <c r="J87" s="83"/>
      <c r="K87" s="83"/>
    </row>
    <row r="88" spans="1:11" x14ac:dyDescent="0.3">
      <c r="A88" s="31" t="str">
        <f t="shared" ref="A88:B90" si="4">A80</f>
        <v>Kostengruppe 300</v>
      </c>
      <c r="B88" s="3" t="str">
        <f t="shared" si="4"/>
        <v>Bauwerk - Baukonstruktion</v>
      </c>
      <c r="C88" s="273">
        <f>IF(D80&gt;0,D80/(D80+D81+D82),0)</f>
        <v>0</v>
      </c>
      <c r="D88" s="278">
        <f>+C88*D91</f>
        <v>0</v>
      </c>
      <c r="E88" s="214"/>
      <c r="F88" s="214"/>
      <c r="G88" s="120"/>
      <c r="H88" s="219"/>
      <c r="J88" s="210"/>
      <c r="K88" s="83"/>
    </row>
    <row r="89" spans="1:11" x14ac:dyDescent="0.3">
      <c r="A89" s="748" t="str">
        <f t="shared" si="4"/>
        <v>Kostengruppe 400</v>
      </c>
      <c r="B89" s="3" t="str">
        <f t="shared" si="4"/>
        <v>Bauwerk - Technische Anlagen</v>
      </c>
      <c r="C89" s="273">
        <f>IF(D81&gt;0,D81/(D80+D81+D82),0)</f>
        <v>0</v>
      </c>
      <c r="D89" s="278">
        <f>+C89*$D$91</f>
        <v>0</v>
      </c>
      <c r="E89" s="195"/>
      <c r="F89" s="195"/>
      <c r="G89" s="120"/>
      <c r="H89" s="219"/>
      <c r="J89" s="210"/>
      <c r="K89" s="83"/>
    </row>
    <row r="90" spans="1:11" x14ac:dyDescent="0.3">
      <c r="A90" s="748" t="str">
        <f t="shared" si="4"/>
        <v>Kostengruppe 500</v>
      </c>
      <c r="B90" s="3" t="str">
        <f t="shared" si="4"/>
        <v>Außenanlagen</v>
      </c>
      <c r="C90" s="273">
        <f>IF(D82&gt;0,D82/(D80+D81+D82),0)</f>
        <v>0</v>
      </c>
      <c r="D90" s="278">
        <f>+C90*$D$91</f>
        <v>0</v>
      </c>
      <c r="E90" s="195"/>
      <c r="F90" s="195"/>
      <c r="G90" s="120"/>
      <c r="H90" s="219"/>
      <c r="J90" s="210"/>
      <c r="K90" s="83"/>
    </row>
    <row r="91" spans="1:11" ht="15.6" x14ac:dyDescent="0.3">
      <c r="A91" s="842" t="s">
        <v>71</v>
      </c>
      <c r="B91" s="843"/>
      <c r="C91" s="279">
        <f>+SUM(C88:C90)</f>
        <v>0</v>
      </c>
      <c r="D91" s="277">
        <f>+B36*E72</f>
        <v>0</v>
      </c>
      <c r="E91" s="120"/>
      <c r="F91" s="120"/>
      <c r="G91" s="120"/>
      <c r="H91" s="220"/>
      <c r="J91" s="113" t="s">
        <v>6</v>
      </c>
      <c r="K91" s="167">
        <f>+B36*E72-D91</f>
        <v>0</v>
      </c>
    </row>
    <row r="92" spans="1:11" x14ac:dyDescent="0.3">
      <c r="A92" s="898"/>
      <c r="B92" s="628"/>
      <c r="C92" s="899"/>
      <c r="D92" s="900"/>
      <c r="E92" s="120"/>
      <c r="F92" s="120"/>
      <c r="G92" s="120"/>
      <c r="H92" s="198"/>
    </row>
    <row r="93" spans="1:11" ht="15.6" x14ac:dyDescent="0.3">
      <c r="A93" s="847" t="s">
        <v>72</v>
      </c>
      <c r="B93" s="843"/>
      <c r="C93" s="844"/>
      <c r="D93" s="848"/>
      <c r="E93" s="120"/>
      <c r="F93" s="120"/>
      <c r="G93" s="120"/>
      <c r="H93" s="198"/>
    </row>
    <row r="94" spans="1:11" x14ac:dyDescent="0.3">
      <c r="A94" s="31" t="str">
        <f>A88</f>
        <v>Kostengruppe 300</v>
      </c>
      <c r="B94" s="3" t="str">
        <f t="shared" ref="B94:B96" si="5">B80</f>
        <v>Bauwerk - Baukonstruktion</v>
      </c>
      <c r="C94" s="273">
        <v>0.02</v>
      </c>
      <c r="D94" s="274">
        <f>(D80-D88)*C94</f>
        <v>0</v>
      </c>
      <c r="E94" s="120"/>
      <c r="F94" s="120"/>
      <c r="G94" s="120"/>
      <c r="H94" s="198"/>
    </row>
    <row r="95" spans="1:11" x14ac:dyDescent="0.3">
      <c r="A95" s="748" t="str">
        <f>A89</f>
        <v>Kostengruppe 400</v>
      </c>
      <c r="B95" s="3" t="str">
        <f t="shared" si="5"/>
        <v>Bauwerk - Technische Anlagen</v>
      </c>
      <c r="C95" s="273">
        <v>6.6699999999999995E-2</v>
      </c>
      <c r="D95" s="274">
        <f>(D81-D89)*C95</f>
        <v>0</v>
      </c>
      <c r="E95" s="340"/>
      <c r="F95" s="340"/>
      <c r="G95" s="120"/>
      <c r="H95" s="225"/>
      <c r="J95" s="226"/>
    </row>
    <row r="96" spans="1:11" x14ac:dyDescent="0.3">
      <c r="A96" s="748" t="str">
        <f>A90</f>
        <v>Kostengruppe 500</v>
      </c>
      <c r="B96" s="3" t="str">
        <f t="shared" si="5"/>
        <v>Außenanlagen</v>
      </c>
      <c r="C96" s="273">
        <v>0.04</v>
      </c>
      <c r="D96" s="274">
        <f>(D82-D90)*C96</f>
        <v>0</v>
      </c>
      <c r="E96" s="340"/>
      <c r="F96" s="340"/>
      <c r="G96" s="120"/>
      <c r="H96" s="227"/>
      <c r="J96" s="226"/>
    </row>
    <row r="97" spans="1:11" x14ac:dyDescent="0.3">
      <c r="A97" s="901"/>
      <c r="B97" s="597"/>
      <c r="C97" s="844"/>
      <c r="D97" s="902"/>
      <c r="E97" s="120"/>
      <c r="F97" s="120"/>
      <c r="G97" s="120"/>
      <c r="H97" s="198"/>
    </row>
    <row r="98" spans="1:11" x14ac:dyDescent="0.3">
      <c r="A98" s="748" t="str">
        <f>A83</f>
        <v>Kostengruppe 600</v>
      </c>
      <c r="B98" s="535" t="str">
        <f>B83</f>
        <v>Ausstattung</v>
      </c>
      <c r="C98" s="280">
        <v>0.125</v>
      </c>
      <c r="D98" s="281">
        <f>D83*C98</f>
        <v>0</v>
      </c>
      <c r="E98" s="120"/>
      <c r="F98" s="120"/>
      <c r="G98" s="120"/>
      <c r="H98" s="198"/>
    </row>
    <row r="99" spans="1:11" x14ac:dyDescent="0.3">
      <c r="A99" s="840" t="s">
        <v>73</v>
      </c>
      <c r="B99" s="597"/>
      <c r="C99" s="844"/>
      <c r="D99" s="277">
        <f>SUM(D94:D98)</f>
        <v>0</v>
      </c>
      <c r="E99" s="120"/>
      <c r="F99" s="341"/>
      <c r="G99" s="120"/>
      <c r="H99" s="198"/>
    </row>
    <row r="100" spans="1:11" x14ac:dyDescent="0.3">
      <c r="A100" s="115"/>
      <c r="B100" s="535"/>
      <c r="C100" s="631"/>
      <c r="D100" s="903"/>
      <c r="E100" s="120"/>
      <c r="F100" s="120"/>
      <c r="G100" s="120"/>
      <c r="H100" s="198"/>
    </row>
    <row r="101" spans="1:11" ht="15.6" x14ac:dyDescent="0.3">
      <c r="A101" s="847" t="s">
        <v>79</v>
      </c>
      <c r="B101" s="843"/>
      <c r="C101" s="844"/>
      <c r="D101" s="277"/>
      <c r="E101" s="120"/>
      <c r="F101" s="120"/>
      <c r="G101" s="120"/>
      <c r="H101" s="198"/>
    </row>
    <row r="102" spans="1:11" x14ac:dyDescent="0.3">
      <c r="A102" s="296"/>
      <c r="B102" s="852" t="s">
        <v>80</v>
      </c>
      <c r="C102" s="853"/>
      <c r="D102" s="283">
        <f>D84+-D79</f>
        <v>0</v>
      </c>
      <c r="E102" s="120"/>
      <c r="F102" s="120"/>
      <c r="G102" s="120"/>
      <c r="H102" s="198"/>
    </row>
    <row r="103" spans="1:11" x14ac:dyDescent="0.3">
      <c r="A103" s="854" t="s">
        <v>78</v>
      </c>
      <c r="B103" s="852" t="s">
        <v>81</v>
      </c>
      <c r="C103" s="855"/>
      <c r="D103" s="284">
        <v>8.0000000000000002E-3</v>
      </c>
      <c r="E103" s="120"/>
      <c r="F103" s="120"/>
      <c r="G103" s="120"/>
      <c r="H103" s="198"/>
    </row>
    <row r="104" spans="1:11" ht="15.6" x14ac:dyDescent="0.3">
      <c r="A104" s="842" t="s">
        <v>82</v>
      </c>
      <c r="B104" s="843"/>
      <c r="C104" s="844"/>
      <c r="D104" s="277">
        <f>D102*D103</f>
        <v>0</v>
      </c>
      <c r="E104" s="120"/>
      <c r="F104" s="120"/>
      <c r="G104" s="120"/>
      <c r="H104" s="198"/>
    </row>
    <row r="105" spans="1:11" x14ac:dyDescent="0.3">
      <c r="A105" s="115"/>
      <c r="B105" s="535"/>
      <c r="C105" s="631"/>
      <c r="D105" s="903"/>
      <c r="E105" s="120"/>
      <c r="F105" s="120"/>
      <c r="G105" s="120"/>
      <c r="H105" s="198"/>
    </row>
    <row r="106" spans="1:11" ht="15.9" hidden="1" customHeight="1" x14ac:dyDescent="0.3">
      <c r="A106" s="847" t="s">
        <v>9</v>
      </c>
      <c r="B106" s="843"/>
      <c r="C106" s="844"/>
      <c r="D106" s="277"/>
      <c r="E106" s="120"/>
      <c r="F106" s="120"/>
      <c r="G106" s="120"/>
      <c r="H106" s="198"/>
    </row>
    <row r="107" spans="1:11" ht="15" hidden="1" customHeight="1" x14ac:dyDescent="0.3">
      <c r="A107" s="904" t="s">
        <v>174</v>
      </c>
      <c r="B107" s="3"/>
      <c r="C107" s="905"/>
      <c r="D107" s="32" t="s">
        <v>173</v>
      </c>
      <c r="E107" s="120"/>
      <c r="F107" s="120"/>
      <c r="G107" s="120"/>
      <c r="H107" s="198"/>
    </row>
    <row r="108" spans="1:11" ht="15" hidden="1" customHeight="1" x14ac:dyDescent="0.3">
      <c r="A108" s="906" t="str">
        <f>+A56</f>
        <v>Position 1</v>
      </c>
      <c r="B108" s="907"/>
      <c r="C108" s="908"/>
      <c r="D108" s="289">
        <f>+D56*E72</f>
        <v>0</v>
      </c>
      <c r="E108" s="120"/>
      <c r="F108" s="120"/>
      <c r="G108" s="120"/>
      <c r="H108" s="198"/>
    </row>
    <row r="109" spans="1:11" ht="15" hidden="1" customHeight="1" x14ac:dyDescent="0.3">
      <c r="A109" s="906" t="str">
        <f>+A57</f>
        <v>Position 2</v>
      </c>
      <c r="B109" s="907"/>
      <c r="C109" s="908"/>
      <c r="D109" s="289">
        <f>+D57*E72</f>
        <v>0</v>
      </c>
      <c r="E109" s="120"/>
      <c r="F109" s="120"/>
      <c r="G109" s="120"/>
      <c r="H109" s="198"/>
    </row>
    <row r="110" spans="1:11" ht="15" hidden="1" customHeight="1" x14ac:dyDescent="0.3">
      <c r="A110" s="906" t="str">
        <f>+A58</f>
        <v>Position 3</v>
      </c>
      <c r="B110" s="907"/>
      <c r="C110" s="909"/>
      <c r="D110" s="289">
        <f>+D58*E72</f>
        <v>0</v>
      </c>
      <c r="E110" s="120"/>
      <c r="F110" s="120"/>
      <c r="G110" s="120"/>
      <c r="H110" s="198"/>
    </row>
    <row r="111" spans="1:11" x14ac:dyDescent="0.3">
      <c r="A111" s="596" t="s">
        <v>10</v>
      </c>
      <c r="B111" s="910"/>
      <c r="C111" s="911"/>
      <c r="D111" s="290">
        <f>SUM(D108:D110)</f>
        <v>0</v>
      </c>
      <c r="E111" s="120"/>
      <c r="F111" s="120"/>
      <c r="G111" s="120"/>
      <c r="H111" s="198"/>
      <c r="J111" s="113" t="s">
        <v>6</v>
      </c>
      <c r="K111" s="167">
        <f>+D59*E72-D111</f>
        <v>0</v>
      </c>
    </row>
    <row r="112" spans="1:11" x14ac:dyDescent="0.3">
      <c r="A112" s="706"/>
      <c r="B112" s="627"/>
      <c r="C112" s="630"/>
      <c r="D112" s="912"/>
      <c r="E112" s="120"/>
      <c r="F112" s="120"/>
      <c r="G112" s="120"/>
      <c r="H112" s="198"/>
    </row>
    <row r="113" spans="1:11" x14ac:dyDescent="0.3">
      <c r="A113" s="13" t="s">
        <v>86</v>
      </c>
      <c r="B113" s="621"/>
      <c r="C113" s="913"/>
      <c r="D113" s="914" t="s">
        <v>173</v>
      </c>
      <c r="E113" s="120"/>
      <c r="F113" s="120"/>
      <c r="G113" s="120"/>
      <c r="H113" s="198"/>
    </row>
    <row r="114" spans="1:11" x14ac:dyDescent="0.3">
      <c r="A114" s="906" t="str">
        <f>+A62</f>
        <v>Position 1</v>
      </c>
      <c r="B114" s="907"/>
      <c r="C114" s="908"/>
      <c r="D114" s="289">
        <f>+D62*E72</f>
        <v>0</v>
      </c>
      <c r="E114" s="120"/>
      <c r="F114" s="120"/>
      <c r="G114" s="120"/>
      <c r="H114" s="198"/>
    </row>
    <row r="115" spans="1:11" x14ac:dyDescent="0.3">
      <c r="A115" s="906" t="str">
        <f>+A63</f>
        <v>Position 2</v>
      </c>
      <c r="B115" s="907"/>
      <c r="C115" s="908"/>
      <c r="D115" s="289">
        <f>+D63*E72</f>
        <v>0</v>
      </c>
      <c r="E115" s="120"/>
      <c r="F115" s="120"/>
      <c r="G115" s="120"/>
      <c r="H115" s="198"/>
    </row>
    <row r="116" spans="1:11" x14ac:dyDescent="0.3">
      <c r="A116" s="906" t="str">
        <f>+A64</f>
        <v>Position 3</v>
      </c>
      <c r="B116" s="907"/>
      <c r="C116" s="909"/>
      <c r="D116" s="289">
        <f>+D64*E72</f>
        <v>0</v>
      </c>
      <c r="E116" s="120"/>
      <c r="F116" s="120"/>
      <c r="G116" s="120"/>
      <c r="H116" s="198"/>
    </row>
    <row r="117" spans="1:11" x14ac:dyDescent="0.3">
      <c r="A117" s="596" t="s">
        <v>10</v>
      </c>
      <c r="B117" s="910"/>
      <c r="C117" s="911"/>
      <c r="D117" s="290">
        <f>SUM(D114:D116)</f>
        <v>0</v>
      </c>
      <c r="E117" s="120"/>
      <c r="F117" s="120"/>
      <c r="G117" s="120"/>
      <c r="H117" s="198"/>
      <c r="J117" s="113" t="s">
        <v>6</v>
      </c>
      <c r="K117" s="167">
        <f>+D65*E72-D117</f>
        <v>0</v>
      </c>
    </row>
    <row r="118" spans="1:11" x14ac:dyDescent="0.3">
      <c r="A118" s="115"/>
      <c r="B118" s="535"/>
      <c r="C118" s="631"/>
      <c r="D118" s="915"/>
      <c r="E118" s="120"/>
      <c r="F118" s="120"/>
      <c r="G118" s="120"/>
      <c r="H118" s="198"/>
    </row>
    <row r="119" spans="1:11" ht="15.6" x14ac:dyDescent="0.3">
      <c r="A119" s="847" t="s">
        <v>87</v>
      </c>
      <c r="B119" s="843"/>
      <c r="C119" s="844"/>
      <c r="D119" s="277">
        <f>D117+D111</f>
        <v>0</v>
      </c>
      <c r="E119" s="120"/>
      <c r="F119" s="120"/>
      <c r="G119" s="120"/>
      <c r="H119" s="198"/>
      <c r="J119" s="113" t="s">
        <v>6</v>
      </c>
      <c r="K119" s="167">
        <f>+D67*E72-D119</f>
        <v>0</v>
      </c>
    </row>
    <row r="120" spans="1:11" x14ac:dyDescent="0.3">
      <c r="A120" s="115"/>
      <c r="B120" s="535"/>
      <c r="C120" s="631"/>
      <c r="D120" s="903"/>
      <c r="E120" s="120"/>
      <c r="F120" s="120"/>
      <c r="G120" s="120"/>
      <c r="H120" s="198"/>
    </row>
    <row r="121" spans="1:11" x14ac:dyDescent="0.3">
      <c r="A121" s="115"/>
      <c r="B121" s="535"/>
      <c r="C121" s="631"/>
      <c r="D121" s="903"/>
      <c r="E121" s="120"/>
      <c r="F121" s="120"/>
      <c r="G121" s="120"/>
      <c r="H121" s="198"/>
    </row>
    <row r="122" spans="1:11" ht="15.6" x14ac:dyDescent="0.3">
      <c r="A122" s="847" t="s">
        <v>88</v>
      </c>
      <c r="B122" s="843"/>
      <c r="C122" s="844"/>
      <c r="D122" s="856"/>
      <c r="E122" s="120"/>
      <c r="F122" s="120"/>
      <c r="G122" s="120"/>
      <c r="H122" s="198"/>
    </row>
    <row r="123" spans="1:11" x14ac:dyDescent="0.3">
      <c r="A123" s="579" t="s">
        <v>71</v>
      </c>
      <c r="B123" s="32" t="s">
        <v>175</v>
      </c>
      <c r="C123" s="905"/>
      <c r="D123" s="916"/>
      <c r="E123" s="120"/>
      <c r="F123" s="120"/>
      <c r="G123" s="120"/>
      <c r="H123" s="239"/>
    </row>
    <row r="124" spans="1:11" x14ac:dyDescent="0.3">
      <c r="A124" s="917" t="str">
        <f>+A33</f>
        <v>Position 1</v>
      </c>
      <c r="B124" s="286">
        <f>+B33*E72</f>
        <v>0</v>
      </c>
      <c r="C124" s="918"/>
      <c r="D124" s="919"/>
      <c r="E124" s="120"/>
      <c r="F124" s="120"/>
      <c r="G124" s="120"/>
      <c r="H124" s="244"/>
    </row>
    <row r="125" spans="1:11" x14ac:dyDescent="0.3">
      <c r="A125" s="917" t="str">
        <f>+A34</f>
        <v>Position 2</v>
      </c>
      <c r="B125" s="286">
        <f>+B34*E72</f>
        <v>0</v>
      </c>
      <c r="C125" s="918"/>
      <c r="D125" s="919"/>
      <c r="E125" s="120"/>
      <c r="F125" s="120"/>
      <c r="G125" s="120"/>
      <c r="H125" s="198"/>
    </row>
    <row r="126" spans="1:11" x14ac:dyDescent="0.3">
      <c r="A126" s="917" t="str">
        <f>+A35</f>
        <v>Position 3</v>
      </c>
      <c r="B126" s="286">
        <f>+B35*E72</f>
        <v>0</v>
      </c>
      <c r="C126" s="920"/>
      <c r="D126" s="919"/>
      <c r="E126" s="120"/>
      <c r="F126" s="120"/>
      <c r="G126" s="120"/>
      <c r="H126" s="198"/>
    </row>
    <row r="127" spans="1:11" x14ac:dyDescent="0.3">
      <c r="A127" s="882" t="s">
        <v>71</v>
      </c>
      <c r="B127" s="285">
        <f>SUM(B124:B126)</f>
        <v>0</v>
      </c>
      <c r="C127" s="918"/>
      <c r="D127" s="919"/>
      <c r="E127" s="120"/>
      <c r="F127" s="120"/>
      <c r="G127" s="120"/>
      <c r="H127" s="198"/>
      <c r="J127" s="113" t="s">
        <v>6</v>
      </c>
      <c r="K127" s="167">
        <f>+B36*E72-B127</f>
        <v>0</v>
      </c>
    </row>
    <row r="128" spans="1:11" x14ac:dyDescent="0.3">
      <c r="A128" s="115"/>
      <c r="B128" s="921"/>
      <c r="C128" s="631"/>
      <c r="D128" s="878"/>
      <c r="E128" s="120"/>
      <c r="F128" s="120"/>
      <c r="G128" s="120"/>
      <c r="H128" s="198"/>
    </row>
    <row r="129" spans="1:11" x14ac:dyDescent="0.3">
      <c r="A129" s="579" t="s">
        <v>89</v>
      </c>
      <c r="B129" s="32" t="s">
        <v>175</v>
      </c>
      <c r="C129" s="857" t="s">
        <v>169</v>
      </c>
      <c r="D129" s="916"/>
      <c r="E129" s="120"/>
      <c r="F129" s="120"/>
      <c r="G129" s="120"/>
      <c r="H129" s="198"/>
    </row>
    <row r="130" spans="1:11" x14ac:dyDescent="0.3">
      <c r="A130" s="858" t="str">
        <f>+A39</f>
        <v>Kapitalmarktdarlehen 1</v>
      </c>
      <c r="B130" s="291">
        <f>+B39*E72</f>
        <v>0</v>
      </c>
      <c r="C130" s="287">
        <f>+C39</f>
        <v>0</v>
      </c>
      <c r="D130" s="289">
        <f>B130*C130</f>
        <v>0</v>
      </c>
      <c r="E130" s="120"/>
      <c r="F130" s="120"/>
      <c r="G130" s="120"/>
      <c r="H130" s="198"/>
    </row>
    <row r="131" spans="1:11" x14ac:dyDescent="0.3">
      <c r="A131" s="858" t="str">
        <f>+A40</f>
        <v>Kapitalmarktdarlehen 2</v>
      </c>
      <c r="B131" s="291">
        <f>+B40*E72</f>
        <v>0</v>
      </c>
      <c r="C131" s="287">
        <f>+C40</f>
        <v>0</v>
      </c>
      <c r="D131" s="289">
        <f>B131*C131</f>
        <v>0</v>
      </c>
      <c r="E131" s="120"/>
      <c r="F131" s="120"/>
      <c r="G131" s="120"/>
      <c r="H131" s="198"/>
    </row>
    <row r="132" spans="1:11" x14ac:dyDescent="0.3">
      <c r="A132" s="858" t="str">
        <f>+A41</f>
        <v>Grundstück</v>
      </c>
      <c r="B132" s="291">
        <f>+B41*E72</f>
        <v>0</v>
      </c>
      <c r="C132" s="287">
        <f>+C41</f>
        <v>0</v>
      </c>
      <c r="D132" s="289">
        <f>B132*C132</f>
        <v>0</v>
      </c>
      <c r="E132" s="120"/>
      <c r="F132" s="120"/>
      <c r="G132" s="120"/>
      <c r="H132" s="198"/>
    </row>
    <row r="133" spans="1:11" x14ac:dyDescent="0.3">
      <c r="A133" s="858" t="str">
        <f>+A42</f>
        <v>Position 4</v>
      </c>
      <c r="B133" s="291">
        <f>+B42*E72</f>
        <v>0</v>
      </c>
      <c r="C133" s="287">
        <f>+C42</f>
        <v>0</v>
      </c>
      <c r="D133" s="289"/>
      <c r="E133" s="120"/>
      <c r="F133" s="120"/>
      <c r="G133" s="120"/>
      <c r="H133" s="198"/>
    </row>
    <row r="134" spans="1:11" x14ac:dyDescent="0.3">
      <c r="A134" s="882" t="s">
        <v>90</v>
      </c>
      <c r="B134" s="285">
        <f>SUM(B130:B133)</f>
        <v>0</v>
      </c>
      <c r="C134" s="288" t="e">
        <f>((B132*C132)+(B130*C130)+(B133*C133)+(B131*C131))/B134</f>
        <v>#DIV/0!</v>
      </c>
      <c r="D134" s="290">
        <f>SUM(D130:D133)</f>
        <v>0</v>
      </c>
      <c r="E134" s="120"/>
      <c r="F134" s="120"/>
      <c r="G134" s="120"/>
      <c r="H134" s="198"/>
      <c r="J134" s="113" t="s">
        <v>6</v>
      </c>
      <c r="K134" s="167">
        <f>+B43*E72-B134</f>
        <v>0</v>
      </c>
    </row>
    <row r="135" spans="1:11" x14ac:dyDescent="0.3">
      <c r="A135" s="115"/>
      <c r="B135" s="535"/>
      <c r="C135" s="631"/>
      <c r="D135" s="915"/>
      <c r="E135" s="120"/>
      <c r="F135" s="120"/>
      <c r="G135" s="120"/>
      <c r="H135" s="198"/>
    </row>
    <row r="136" spans="1:11" x14ac:dyDescent="0.3">
      <c r="A136" s="579" t="s">
        <v>91</v>
      </c>
      <c r="B136" s="32" t="s">
        <v>175</v>
      </c>
      <c r="C136" s="857" t="s">
        <v>169</v>
      </c>
      <c r="D136" s="922"/>
      <c r="E136" s="120"/>
      <c r="F136" s="120"/>
      <c r="G136" s="120"/>
      <c r="H136" s="198"/>
    </row>
    <row r="137" spans="1:11" x14ac:dyDescent="0.3">
      <c r="A137" s="859" t="str">
        <f>+A46</f>
        <v>Eigenmittel</v>
      </c>
      <c r="B137" s="291">
        <f>+D84-B127-B134-B138-B139-B140</f>
        <v>0</v>
      </c>
      <c r="C137" s="287">
        <f>+C46</f>
        <v>1.4999999999999999E-2</v>
      </c>
      <c r="D137" s="292">
        <f>B137*C137</f>
        <v>0</v>
      </c>
      <c r="E137" s="120"/>
      <c r="F137" s="120"/>
      <c r="G137" s="120"/>
      <c r="H137" s="198"/>
    </row>
    <row r="138" spans="1:11" x14ac:dyDescent="0.3">
      <c r="A138" s="859" t="str">
        <f>+A47</f>
        <v>EM-Ersatz (z.B. Aktion Mensch)</v>
      </c>
      <c r="B138" s="286">
        <f>+B47*E72</f>
        <v>0</v>
      </c>
      <c r="C138" s="287">
        <f>+C47</f>
        <v>0</v>
      </c>
      <c r="D138" s="292">
        <f>B138*C138</f>
        <v>0</v>
      </c>
      <c r="E138" s="120"/>
      <c r="F138" s="120"/>
      <c r="G138" s="120"/>
      <c r="H138" s="198"/>
    </row>
    <row r="139" spans="1:11" x14ac:dyDescent="0.3">
      <c r="A139" s="859" t="str">
        <f>+A48</f>
        <v>Position 3</v>
      </c>
      <c r="B139" s="286">
        <f>+B48*E72</f>
        <v>0</v>
      </c>
      <c r="C139" s="287">
        <f>+C48</f>
        <v>1.4999999999999999E-2</v>
      </c>
      <c r="D139" s="292">
        <f>B139*C139</f>
        <v>0</v>
      </c>
      <c r="E139" s="120"/>
      <c r="F139" s="120"/>
      <c r="G139" s="120"/>
      <c r="H139" s="198"/>
    </row>
    <row r="140" spans="1:11" x14ac:dyDescent="0.3">
      <c r="A140" s="859" t="str">
        <f>+A49</f>
        <v>Position 4</v>
      </c>
      <c r="B140" s="286">
        <f>+B49*E72</f>
        <v>0</v>
      </c>
      <c r="C140" s="287">
        <f>+C49</f>
        <v>1.4999999999999999E-2</v>
      </c>
      <c r="D140" s="292">
        <f>B140*C140</f>
        <v>0</v>
      </c>
      <c r="E140" s="120"/>
      <c r="F140" s="120"/>
      <c r="G140" s="120"/>
      <c r="H140" s="198"/>
    </row>
    <row r="141" spans="1:11" x14ac:dyDescent="0.3">
      <c r="A141" s="882" t="s">
        <v>92</v>
      </c>
      <c r="B141" s="285">
        <f>SUM(B137:B140)</f>
        <v>0</v>
      </c>
      <c r="C141" s="288" t="e">
        <f>((B139*C139)+(B137*C137)+(B140*C140)+(B138*C138))/B141</f>
        <v>#DIV/0!</v>
      </c>
      <c r="D141" s="293">
        <f>SUM(D137:D140)</f>
        <v>0</v>
      </c>
      <c r="E141" s="120"/>
      <c r="F141" s="120"/>
      <c r="G141" s="120"/>
      <c r="H141" s="198"/>
      <c r="J141" s="113" t="s">
        <v>6</v>
      </c>
      <c r="K141" s="167">
        <f>+B50*E72-B141</f>
        <v>0</v>
      </c>
    </row>
    <row r="142" spans="1:11" x14ac:dyDescent="0.3">
      <c r="A142" s="883"/>
      <c r="B142" s="884"/>
      <c r="C142" s="885"/>
      <c r="D142" s="886"/>
      <c r="E142" s="120"/>
      <c r="F142" s="120"/>
      <c r="G142" s="120"/>
      <c r="H142" s="198"/>
      <c r="J142" s="255"/>
    </row>
    <row r="143" spans="1:11" ht="15.6" x14ac:dyDescent="0.3">
      <c r="A143" s="842" t="s">
        <v>93</v>
      </c>
      <c r="B143" s="294">
        <f>+B127+B134+B141</f>
        <v>0</v>
      </c>
      <c r="C143" s="597"/>
      <c r="D143" s="269">
        <f>D141+D134</f>
        <v>0</v>
      </c>
      <c r="E143" s="256"/>
      <c r="F143" s="256"/>
      <c r="G143" s="120"/>
      <c r="H143" s="198"/>
      <c r="J143" s="113" t="s">
        <v>6</v>
      </c>
      <c r="K143" s="167">
        <f>+B143-D84</f>
        <v>0</v>
      </c>
    </row>
    <row r="144" spans="1:11" x14ac:dyDescent="0.3">
      <c r="A144" s="115"/>
      <c r="B144" s="535"/>
      <c r="C144" s="631"/>
      <c r="D144" s="903"/>
      <c r="E144" s="120"/>
      <c r="F144" s="120"/>
      <c r="G144" s="120"/>
      <c r="H144" s="198"/>
    </row>
    <row r="145" spans="1:11" ht="15.6" x14ac:dyDescent="0.3">
      <c r="A145" s="842" t="s">
        <v>11</v>
      </c>
      <c r="B145" s="294"/>
      <c r="C145" s="844"/>
      <c r="D145" s="856"/>
      <c r="E145" s="120"/>
      <c r="F145" s="120"/>
      <c r="G145" s="120"/>
      <c r="H145" s="198"/>
    </row>
    <row r="146" spans="1:11" x14ac:dyDescent="0.3">
      <c r="A146" s="582" t="s">
        <v>12</v>
      </c>
      <c r="B146" s="702"/>
      <c r="C146" s="702"/>
      <c r="D146" s="275">
        <f>+D94+D95+D96</f>
        <v>0</v>
      </c>
      <c r="E146" s="120"/>
      <c r="F146" s="120"/>
      <c r="G146" s="120"/>
      <c r="H146" s="198"/>
    </row>
    <row r="147" spans="1:11" x14ac:dyDescent="0.3">
      <c r="A147" s="583" t="s">
        <v>13</v>
      </c>
      <c r="B147" s="307"/>
      <c r="C147" s="307"/>
      <c r="D147" s="275">
        <f>+D98</f>
        <v>0</v>
      </c>
      <c r="E147" s="120"/>
      <c r="F147" s="120"/>
      <c r="G147" s="120"/>
      <c r="H147" s="198"/>
    </row>
    <row r="148" spans="1:11" x14ac:dyDescent="0.3">
      <c r="A148" s="583" t="s">
        <v>14</v>
      </c>
      <c r="B148" s="307"/>
      <c r="C148" s="307"/>
      <c r="D148" s="274">
        <f>+D104</f>
        <v>0</v>
      </c>
      <c r="E148" s="120"/>
      <c r="F148" s="120"/>
      <c r="G148" s="120"/>
      <c r="H148" s="198"/>
    </row>
    <row r="149" spans="1:11" x14ac:dyDescent="0.3">
      <c r="A149" s="583" t="s">
        <v>9</v>
      </c>
      <c r="B149" s="307"/>
      <c r="C149" s="307"/>
      <c r="D149" s="274">
        <f>+D119</f>
        <v>0</v>
      </c>
      <c r="E149" s="120"/>
      <c r="F149" s="120"/>
      <c r="G149" s="120"/>
      <c r="H149" s="198"/>
    </row>
    <row r="150" spans="1:11" x14ac:dyDescent="0.3">
      <c r="A150" s="583" t="s">
        <v>15</v>
      </c>
      <c r="B150" s="307"/>
      <c r="C150" s="307"/>
      <c r="D150" s="274">
        <f>+D143</f>
        <v>0</v>
      </c>
      <c r="E150" s="120"/>
      <c r="F150" s="120"/>
      <c r="G150" s="120"/>
      <c r="H150" s="198"/>
    </row>
    <row r="151" spans="1:11" x14ac:dyDescent="0.3">
      <c r="A151" s="840" t="s">
        <v>10</v>
      </c>
      <c r="B151" s="819"/>
      <c r="C151" s="819"/>
      <c r="D151" s="354">
        <f>SUM(D146:D150)</f>
        <v>0</v>
      </c>
      <c r="E151" s="120"/>
      <c r="F151" s="120"/>
      <c r="G151" s="120"/>
      <c r="H151" s="198"/>
      <c r="J151" s="83"/>
      <c r="K151" s="135"/>
    </row>
    <row r="152" spans="1:11" x14ac:dyDescent="0.3">
      <c r="A152" s="115"/>
      <c r="B152" s="535"/>
      <c r="C152" s="631"/>
      <c r="D152" s="878"/>
      <c r="E152" s="120"/>
      <c r="F152" s="120"/>
      <c r="G152" s="120"/>
      <c r="H152" s="198"/>
    </row>
    <row r="153" spans="1:11" x14ac:dyDescent="0.3">
      <c r="A153" s="296" t="s">
        <v>16</v>
      </c>
      <c r="B153" s="296">
        <v>365</v>
      </c>
      <c r="C153" s="631"/>
      <c r="D153" s="878"/>
      <c r="E153" s="120"/>
      <c r="F153" s="120"/>
      <c r="G153" s="120"/>
      <c r="H153" s="198"/>
    </row>
    <row r="154" spans="1:11" x14ac:dyDescent="0.3">
      <c r="A154" s="296" t="s">
        <v>154</v>
      </c>
      <c r="B154" s="296">
        <f>+Stammdaten!B7</f>
        <v>0</v>
      </c>
      <c r="C154" s="923"/>
      <c r="D154" s="878"/>
      <c r="E154" s="120"/>
      <c r="F154" s="120"/>
      <c r="G154" s="120"/>
      <c r="H154" s="198"/>
    </row>
    <row r="155" spans="1:11" x14ac:dyDescent="0.3">
      <c r="A155" s="296" t="s">
        <v>18</v>
      </c>
      <c r="B155" s="355">
        <f>+'B_1 Geb. Kaltmiete'!B104</f>
        <v>0.96499999999999997</v>
      </c>
      <c r="C155" s="631"/>
      <c r="D155" s="878"/>
      <c r="E155" s="120"/>
      <c r="F155" s="120"/>
      <c r="G155" s="120"/>
      <c r="H155" s="198"/>
    </row>
    <row r="156" spans="1:11" ht="29.4" thickBot="1" x14ac:dyDescent="0.35">
      <c r="A156" s="861" t="s">
        <v>19</v>
      </c>
      <c r="B156" s="356">
        <f>B155*B154*B153</f>
        <v>0</v>
      </c>
      <c r="C156" s="923"/>
      <c r="D156" s="878"/>
      <c r="E156" s="862" t="s">
        <v>22</v>
      </c>
      <c r="F156" s="862" t="s">
        <v>21</v>
      </c>
      <c r="G156" s="120"/>
      <c r="H156" s="198"/>
    </row>
    <row r="157" spans="1:11" ht="15.75" customHeight="1" thickTop="1" x14ac:dyDescent="0.3">
      <c r="A157" s="115"/>
      <c r="B157" s="535"/>
      <c r="C157" s="631"/>
      <c r="D157" s="878"/>
      <c r="E157" s="863"/>
      <c r="F157" s="863"/>
      <c r="G157" s="120"/>
      <c r="H157" s="198"/>
    </row>
    <row r="158" spans="1:11" ht="14.25" customHeight="1" x14ac:dyDescent="0.3">
      <c r="A158" s="842" t="s">
        <v>227</v>
      </c>
      <c r="B158" s="294"/>
      <c r="C158" s="844"/>
      <c r="D158" s="856"/>
      <c r="E158" s="357">
        <v>0</v>
      </c>
      <c r="F158" s="357">
        <v>1</v>
      </c>
      <c r="G158" s="120"/>
      <c r="H158" s="198"/>
    </row>
    <row r="159" spans="1:11" x14ac:dyDescent="0.3">
      <c r="A159" s="864" t="s">
        <v>12</v>
      </c>
      <c r="B159" s="865"/>
      <c r="C159" s="865"/>
      <c r="D159" s="358" t="e">
        <f>D146/$B$156</f>
        <v>#DIV/0!</v>
      </c>
      <c r="E159" s="924"/>
      <c r="F159" s="925"/>
      <c r="G159" s="120"/>
      <c r="H159" s="198"/>
    </row>
    <row r="160" spans="1:11" x14ac:dyDescent="0.3">
      <c r="A160" s="858" t="s">
        <v>13</v>
      </c>
      <c r="B160" s="866"/>
      <c r="C160" s="866"/>
      <c r="D160" s="300" t="e">
        <f>D147/$B$156</f>
        <v>#DIV/0!</v>
      </c>
      <c r="E160" s="926"/>
      <c r="F160" s="888"/>
      <c r="G160" s="120"/>
      <c r="H160" s="198"/>
    </row>
    <row r="161" spans="1:8" x14ac:dyDescent="0.3">
      <c r="A161" s="858" t="s">
        <v>14</v>
      </c>
      <c r="B161" s="866"/>
      <c r="C161" s="866"/>
      <c r="D161" s="300" t="e">
        <f>D148/$B$156</f>
        <v>#DIV/0!</v>
      </c>
      <c r="E161" s="926"/>
      <c r="F161" s="888"/>
      <c r="G161" s="120"/>
      <c r="H161" s="198"/>
    </row>
    <row r="162" spans="1:8" x14ac:dyDescent="0.3">
      <c r="A162" s="858" t="s">
        <v>9</v>
      </c>
      <c r="B162" s="866"/>
      <c r="C162" s="866"/>
      <c r="D162" s="300" t="e">
        <f>D149/$B$156</f>
        <v>#DIV/0!</v>
      </c>
      <c r="E162" s="926"/>
      <c r="F162" s="888"/>
      <c r="G162" s="120"/>
      <c r="H162" s="198"/>
    </row>
    <row r="163" spans="1:8" x14ac:dyDescent="0.3">
      <c r="A163" s="858" t="s">
        <v>15</v>
      </c>
      <c r="B163" s="866"/>
      <c r="C163" s="866"/>
      <c r="D163" s="300" t="e">
        <f>D150/$B$156</f>
        <v>#DIV/0!</v>
      </c>
      <c r="E163" s="926"/>
      <c r="F163" s="888"/>
      <c r="G163" s="120"/>
      <c r="H163" s="198"/>
    </row>
    <row r="164" spans="1:8" ht="15.6" x14ac:dyDescent="0.3">
      <c r="A164" s="867" t="s">
        <v>240</v>
      </c>
      <c r="B164" s="868"/>
      <c r="C164" s="869" t="s">
        <v>57</v>
      </c>
      <c r="D164" s="359" t="e">
        <f>SUM(D159:D163)</f>
        <v>#DIV/0!</v>
      </c>
      <c r="E164" s="571"/>
      <c r="F164" s="572"/>
      <c r="G164" s="120"/>
      <c r="H164" s="198"/>
    </row>
    <row r="165" spans="1:8" ht="15.6" x14ac:dyDescent="0.3">
      <c r="A165" s="867" t="s">
        <v>240</v>
      </c>
      <c r="B165" s="868"/>
      <c r="C165" s="869" t="s">
        <v>99</v>
      </c>
      <c r="D165" s="359" t="e">
        <f>+D164*365</f>
        <v>#DIV/0!</v>
      </c>
      <c r="E165" s="380"/>
      <c r="F165" s="927"/>
      <c r="G165" s="120"/>
      <c r="H165" s="198"/>
    </row>
    <row r="166" spans="1:8" ht="18" x14ac:dyDescent="0.35">
      <c r="A166" s="870" t="s">
        <v>241</v>
      </c>
      <c r="B166" s="871"/>
      <c r="C166" s="818" t="s">
        <v>98</v>
      </c>
      <c r="D166" s="304" t="e">
        <f>+D165/12</f>
        <v>#DIV/0!</v>
      </c>
      <c r="E166" s="304" t="e">
        <f>+D166*E158</f>
        <v>#DIV/0!</v>
      </c>
      <c r="F166" s="304" t="e">
        <f>+D166*F158</f>
        <v>#DIV/0!</v>
      </c>
      <c r="G166" s="257"/>
      <c r="H166" s="342"/>
    </row>
    <row r="167" spans="1:8" x14ac:dyDescent="0.3">
      <c r="A167" s="68"/>
      <c r="B167" s="120"/>
      <c r="C167" s="195"/>
      <c r="D167" s="195"/>
      <c r="E167" s="195"/>
      <c r="F167" s="195"/>
      <c r="G167" s="195"/>
      <c r="H167" s="120"/>
    </row>
  </sheetData>
  <sheetProtection algorithmName="SHA-512" hashValue="vfGFx3uQoVi/uS7DJmkMSUmMDYW0+kNnhO0elF2HtPMQ8S8zcXLeKYxkfa4q/fNcgqf07WqYcsK2mJbnObvXtA==" saltValue="wTnkdT8fAdIHp7946DJyzg==" spinCount="100000" sheet="1" objects="1" scenarios="1"/>
  <mergeCells count="2">
    <mergeCell ref="A4:H4"/>
    <mergeCell ref="A7:B7"/>
  </mergeCells>
  <conditionalFormatting sqref="K29">
    <cfRule type="expression" dxfId="61" priority="11">
      <formula>OR(K29&lt;-0.0009,K29&gt;0.0009)</formula>
    </cfRule>
  </conditionalFormatting>
  <conditionalFormatting sqref="K84">
    <cfRule type="expression" dxfId="60" priority="10">
      <formula>OR(K84&lt;-0.0009,K84&gt;0.0009)</formula>
    </cfRule>
  </conditionalFormatting>
  <conditionalFormatting sqref="K143">
    <cfRule type="expression" dxfId="59" priority="9">
      <formula>OR(K143&lt;-0.0009,K143&gt;0.0009)</formula>
    </cfRule>
  </conditionalFormatting>
  <conditionalFormatting sqref="K91">
    <cfRule type="expression" dxfId="58" priority="8">
      <formula>OR(K91&lt;-0.0009,K91&gt;0.0009)</formula>
    </cfRule>
  </conditionalFormatting>
  <conditionalFormatting sqref="K111">
    <cfRule type="expression" dxfId="57" priority="7">
      <formula>OR(K111&lt;-0.0009,K111&gt;0.0009)</formula>
    </cfRule>
  </conditionalFormatting>
  <conditionalFormatting sqref="K117">
    <cfRule type="expression" dxfId="56" priority="6">
      <formula>OR(K117&lt;-0.0009,K117&gt;0.0009)</formula>
    </cfRule>
  </conditionalFormatting>
  <conditionalFormatting sqref="K119">
    <cfRule type="expression" dxfId="55" priority="5">
      <formula>OR(K119&lt;-0.0009,K119&gt;0.0009)</formula>
    </cfRule>
  </conditionalFormatting>
  <conditionalFormatting sqref="K127">
    <cfRule type="expression" dxfId="54" priority="4">
      <formula>OR(K127&lt;-0.0009,K127&gt;0.0009)</formula>
    </cfRule>
  </conditionalFormatting>
  <conditionalFormatting sqref="K151">
    <cfRule type="expression" dxfId="53" priority="3">
      <formula>OR(K151&lt;-0.0009,K151&gt;0.0009)</formula>
    </cfRule>
  </conditionalFormatting>
  <conditionalFormatting sqref="K134">
    <cfRule type="expression" dxfId="52" priority="2">
      <formula>OR(K134&lt;-0.0009,K134&gt;0.0009)</formula>
    </cfRule>
  </conditionalFormatting>
  <conditionalFormatting sqref="K141">
    <cfRule type="expression" dxfId="51" priority="1">
      <formula>OR(K141&lt;-0.0009,K141&gt;0.0009)</formula>
    </cfRule>
  </conditionalFormatting>
  <pageMargins left="0.7" right="0.7" top="0.78740157499999996" bottom="0.78740157499999996" header="0.3" footer="0.3"/>
  <pageSetup paperSize="9" scale="60" fitToWidth="0" fitToHeight="0" orientation="portrait" r:id="rId1"/>
  <rowBreaks count="2" manualBreakCount="2">
    <brk id="67" max="7" man="1"/>
    <brk id="152" max="7" man="1"/>
  </rowBreaks>
  <colBreaks count="1" manualBreakCount="1">
    <brk id="9"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APSheet"/>
  <dimension ref="A1:I40"/>
  <sheetViews>
    <sheetView zoomScaleNormal="100" workbookViewId="0">
      <selection activeCell="A4" sqref="A4"/>
    </sheetView>
  </sheetViews>
  <sheetFormatPr baseColWidth="10" defaultRowHeight="14.4" x14ac:dyDescent="0.3"/>
  <cols>
    <col min="1" max="1" width="35.6640625" style="360" customWidth="1"/>
    <col min="2" max="2" width="11.44140625" style="360" customWidth="1"/>
    <col min="3" max="3" width="13.88671875" style="360" customWidth="1"/>
    <col min="4" max="6" width="15.6640625" style="360" customWidth="1"/>
    <col min="7" max="7" width="4.33203125" style="360" customWidth="1"/>
    <col min="8" max="8" width="8.33203125" style="360" customWidth="1"/>
    <col min="9" max="9" width="11.44140625" style="119"/>
    <col min="10" max="250" width="11.44140625" style="360"/>
    <col min="251" max="251" width="35.6640625" style="360" customWidth="1"/>
    <col min="252" max="252" width="15.6640625" style="360" customWidth="1"/>
    <col min="253" max="255" width="0" style="360" hidden="1" customWidth="1"/>
    <col min="256" max="256" width="3.33203125" style="360" customWidth="1"/>
    <col min="257" max="259" width="15.6640625" style="360" customWidth="1"/>
    <col min="260" max="260" width="11.44140625" style="360"/>
    <col min="261" max="261" width="12.88671875" style="360" customWidth="1"/>
    <col min="262" max="262" width="11.44140625" style="360" customWidth="1"/>
    <col min="263" max="506" width="11.44140625" style="360"/>
    <col min="507" max="507" width="35.6640625" style="360" customWidth="1"/>
    <col min="508" max="508" width="15.6640625" style="360" customWidth="1"/>
    <col min="509" max="511" width="0" style="360" hidden="1" customWidth="1"/>
    <col min="512" max="512" width="3.33203125" style="360" customWidth="1"/>
    <col min="513" max="515" width="15.6640625" style="360" customWidth="1"/>
    <col min="516" max="516" width="11.44140625" style="360"/>
    <col min="517" max="517" width="12.88671875" style="360" customWidth="1"/>
    <col min="518" max="518" width="11.44140625" style="360" customWidth="1"/>
    <col min="519" max="762" width="11.44140625" style="360"/>
    <col min="763" max="763" width="35.6640625" style="360" customWidth="1"/>
    <col min="764" max="764" width="15.6640625" style="360" customWidth="1"/>
    <col min="765" max="767" width="0" style="360" hidden="1" customWidth="1"/>
    <col min="768" max="768" width="3.33203125" style="360" customWidth="1"/>
    <col min="769" max="771" width="15.6640625" style="360" customWidth="1"/>
    <col min="772" max="772" width="11.44140625" style="360"/>
    <col min="773" max="773" width="12.88671875" style="360" customWidth="1"/>
    <col min="774" max="774" width="11.44140625" style="360" customWidth="1"/>
    <col min="775" max="1018" width="11.44140625" style="360"/>
    <col min="1019" max="1019" width="35.6640625" style="360" customWidth="1"/>
    <col min="1020" max="1020" width="15.6640625" style="360" customWidth="1"/>
    <col min="1021" max="1023" width="0" style="360" hidden="1" customWidth="1"/>
    <col min="1024" max="1024" width="3.33203125" style="360" customWidth="1"/>
    <col min="1025" max="1027" width="15.6640625" style="360" customWidth="1"/>
    <col min="1028" max="1028" width="11.44140625" style="360"/>
    <col min="1029" max="1029" width="12.88671875" style="360" customWidth="1"/>
    <col min="1030" max="1030" width="11.44140625" style="360" customWidth="1"/>
    <col min="1031" max="1274" width="11.44140625" style="360"/>
    <col min="1275" max="1275" width="35.6640625" style="360" customWidth="1"/>
    <col min="1276" max="1276" width="15.6640625" style="360" customWidth="1"/>
    <col min="1277" max="1279" width="0" style="360" hidden="1" customWidth="1"/>
    <col min="1280" max="1280" width="3.33203125" style="360" customWidth="1"/>
    <col min="1281" max="1283" width="15.6640625" style="360" customWidth="1"/>
    <col min="1284" max="1284" width="11.44140625" style="360"/>
    <col min="1285" max="1285" width="12.88671875" style="360" customWidth="1"/>
    <col min="1286" max="1286" width="11.44140625" style="360" customWidth="1"/>
    <col min="1287" max="1530" width="11.44140625" style="360"/>
    <col min="1531" max="1531" width="35.6640625" style="360" customWidth="1"/>
    <col min="1532" max="1532" width="15.6640625" style="360" customWidth="1"/>
    <col min="1533" max="1535" width="0" style="360" hidden="1" customWidth="1"/>
    <col min="1536" max="1536" width="3.33203125" style="360" customWidth="1"/>
    <col min="1537" max="1539" width="15.6640625" style="360" customWidth="1"/>
    <col min="1540" max="1540" width="11.44140625" style="360"/>
    <col min="1541" max="1541" width="12.88671875" style="360" customWidth="1"/>
    <col min="1542" max="1542" width="11.44140625" style="360" customWidth="1"/>
    <col min="1543" max="1786" width="11.44140625" style="360"/>
    <col min="1787" max="1787" width="35.6640625" style="360" customWidth="1"/>
    <col min="1788" max="1788" width="15.6640625" style="360" customWidth="1"/>
    <col min="1789" max="1791" width="0" style="360" hidden="1" customWidth="1"/>
    <col min="1792" max="1792" width="3.33203125" style="360" customWidth="1"/>
    <col min="1793" max="1795" width="15.6640625" style="360" customWidth="1"/>
    <col min="1796" max="1796" width="11.44140625" style="360"/>
    <col min="1797" max="1797" width="12.88671875" style="360" customWidth="1"/>
    <col min="1798" max="1798" width="11.44140625" style="360" customWidth="1"/>
    <col min="1799" max="2042" width="11.44140625" style="360"/>
    <col min="2043" max="2043" width="35.6640625" style="360" customWidth="1"/>
    <col min="2044" max="2044" width="15.6640625" style="360" customWidth="1"/>
    <col min="2045" max="2047" width="0" style="360" hidden="1" customWidth="1"/>
    <col min="2048" max="2048" width="3.33203125" style="360" customWidth="1"/>
    <col min="2049" max="2051" width="15.6640625" style="360" customWidth="1"/>
    <col min="2052" max="2052" width="11.44140625" style="360"/>
    <col min="2053" max="2053" width="12.88671875" style="360" customWidth="1"/>
    <col min="2054" max="2054" width="11.44140625" style="360" customWidth="1"/>
    <col min="2055" max="2298" width="11.44140625" style="360"/>
    <col min="2299" max="2299" width="35.6640625" style="360" customWidth="1"/>
    <col min="2300" max="2300" width="15.6640625" style="360" customWidth="1"/>
    <col min="2301" max="2303" width="0" style="360" hidden="1" customWidth="1"/>
    <col min="2304" max="2304" width="3.33203125" style="360" customWidth="1"/>
    <col min="2305" max="2307" width="15.6640625" style="360" customWidth="1"/>
    <col min="2308" max="2308" width="11.44140625" style="360"/>
    <col min="2309" max="2309" width="12.88671875" style="360" customWidth="1"/>
    <col min="2310" max="2310" width="11.44140625" style="360" customWidth="1"/>
    <col min="2311" max="2554" width="11.44140625" style="360"/>
    <col min="2555" max="2555" width="35.6640625" style="360" customWidth="1"/>
    <col min="2556" max="2556" width="15.6640625" style="360" customWidth="1"/>
    <col min="2557" max="2559" width="0" style="360" hidden="1" customWidth="1"/>
    <col min="2560" max="2560" width="3.33203125" style="360" customWidth="1"/>
    <col min="2561" max="2563" width="15.6640625" style="360" customWidth="1"/>
    <col min="2564" max="2564" width="11.44140625" style="360"/>
    <col min="2565" max="2565" width="12.88671875" style="360" customWidth="1"/>
    <col min="2566" max="2566" width="11.44140625" style="360" customWidth="1"/>
    <col min="2567" max="2810" width="11.44140625" style="360"/>
    <col min="2811" max="2811" width="35.6640625" style="360" customWidth="1"/>
    <col min="2812" max="2812" width="15.6640625" style="360" customWidth="1"/>
    <col min="2813" max="2815" width="0" style="360" hidden="1" customWidth="1"/>
    <col min="2816" max="2816" width="3.33203125" style="360" customWidth="1"/>
    <col min="2817" max="2819" width="15.6640625" style="360" customWidth="1"/>
    <col min="2820" max="2820" width="11.44140625" style="360"/>
    <col min="2821" max="2821" width="12.88671875" style="360" customWidth="1"/>
    <col min="2822" max="2822" width="11.44140625" style="360" customWidth="1"/>
    <col min="2823" max="3066" width="11.44140625" style="360"/>
    <col min="3067" max="3067" width="35.6640625" style="360" customWidth="1"/>
    <col min="3068" max="3068" width="15.6640625" style="360" customWidth="1"/>
    <col min="3069" max="3071" width="0" style="360" hidden="1" customWidth="1"/>
    <col min="3072" max="3072" width="3.33203125" style="360" customWidth="1"/>
    <col min="3073" max="3075" width="15.6640625" style="360" customWidth="1"/>
    <col min="3076" max="3076" width="11.44140625" style="360"/>
    <col min="3077" max="3077" width="12.88671875" style="360" customWidth="1"/>
    <col min="3078" max="3078" width="11.44140625" style="360" customWidth="1"/>
    <col min="3079" max="3322" width="11.44140625" style="360"/>
    <col min="3323" max="3323" width="35.6640625" style="360" customWidth="1"/>
    <col min="3324" max="3324" width="15.6640625" style="360" customWidth="1"/>
    <col min="3325" max="3327" width="0" style="360" hidden="1" customWidth="1"/>
    <col min="3328" max="3328" width="3.33203125" style="360" customWidth="1"/>
    <col min="3329" max="3331" width="15.6640625" style="360" customWidth="1"/>
    <col min="3332" max="3332" width="11.44140625" style="360"/>
    <col min="3333" max="3333" width="12.88671875" style="360" customWidth="1"/>
    <col min="3334" max="3334" width="11.44140625" style="360" customWidth="1"/>
    <col min="3335" max="3578" width="11.44140625" style="360"/>
    <col min="3579" max="3579" width="35.6640625" style="360" customWidth="1"/>
    <col min="3580" max="3580" width="15.6640625" style="360" customWidth="1"/>
    <col min="3581" max="3583" width="0" style="360" hidden="1" customWidth="1"/>
    <col min="3584" max="3584" width="3.33203125" style="360" customWidth="1"/>
    <col min="3585" max="3587" width="15.6640625" style="360" customWidth="1"/>
    <col min="3588" max="3588" width="11.44140625" style="360"/>
    <col min="3589" max="3589" width="12.88671875" style="360" customWidth="1"/>
    <col min="3590" max="3590" width="11.44140625" style="360" customWidth="1"/>
    <col min="3591" max="3834" width="11.44140625" style="360"/>
    <col min="3835" max="3835" width="35.6640625" style="360" customWidth="1"/>
    <col min="3836" max="3836" width="15.6640625" style="360" customWidth="1"/>
    <col min="3837" max="3839" width="0" style="360" hidden="1" customWidth="1"/>
    <col min="3840" max="3840" width="3.33203125" style="360" customWidth="1"/>
    <col min="3841" max="3843" width="15.6640625" style="360" customWidth="1"/>
    <col min="3844" max="3844" width="11.44140625" style="360"/>
    <col min="3845" max="3845" width="12.88671875" style="360" customWidth="1"/>
    <col min="3846" max="3846" width="11.44140625" style="360" customWidth="1"/>
    <col min="3847" max="4090" width="11.44140625" style="360"/>
    <col min="4091" max="4091" width="35.6640625" style="360" customWidth="1"/>
    <col min="4092" max="4092" width="15.6640625" style="360" customWidth="1"/>
    <col min="4093" max="4095" width="0" style="360" hidden="1" customWidth="1"/>
    <col min="4096" max="4096" width="3.33203125" style="360" customWidth="1"/>
    <col min="4097" max="4099" width="15.6640625" style="360" customWidth="1"/>
    <col min="4100" max="4100" width="11.44140625" style="360"/>
    <col min="4101" max="4101" width="12.88671875" style="360" customWidth="1"/>
    <col min="4102" max="4102" width="11.44140625" style="360" customWidth="1"/>
    <col min="4103" max="4346" width="11.44140625" style="360"/>
    <col min="4347" max="4347" width="35.6640625" style="360" customWidth="1"/>
    <col min="4348" max="4348" width="15.6640625" style="360" customWidth="1"/>
    <col min="4349" max="4351" width="0" style="360" hidden="1" customWidth="1"/>
    <col min="4352" max="4352" width="3.33203125" style="360" customWidth="1"/>
    <col min="4353" max="4355" width="15.6640625" style="360" customWidth="1"/>
    <col min="4356" max="4356" width="11.44140625" style="360"/>
    <col min="4357" max="4357" width="12.88671875" style="360" customWidth="1"/>
    <col min="4358" max="4358" width="11.44140625" style="360" customWidth="1"/>
    <col min="4359" max="4602" width="11.44140625" style="360"/>
    <col min="4603" max="4603" width="35.6640625" style="360" customWidth="1"/>
    <col min="4604" max="4604" width="15.6640625" style="360" customWidth="1"/>
    <col min="4605" max="4607" width="0" style="360" hidden="1" customWidth="1"/>
    <col min="4608" max="4608" width="3.33203125" style="360" customWidth="1"/>
    <col min="4609" max="4611" width="15.6640625" style="360" customWidth="1"/>
    <col min="4612" max="4612" width="11.44140625" style="360"/>
    <col min="4613" max="4613" width="12.88671875" style="360" customWidth="1"/>
    <col min="4614" max="4614" width="11.44140625" style="360" customWidth="1"/>
    <col min="4615" max="4858" width="11.44140625" style="360"/>
    <col min="4859" max="4859" width="35.6640625" style="360" customWidth="1"/>
    <col min="4860" max="4860" width="15.6640625" style="360" customWidth="1"/>
    <col min="4861" max="4863" width="0" style="360" hidden="1" customWidth="1"/>
    <col min="4864" max="4864" width="3.33203125" style="360" customWidth="1"/>
    <col min="4865" max="4867" width="15.6640625" style="360" customWidth="1"/>
    <col min="4868" max="4868" width="11.44140625" style="360"/>
    <col min="4869" max="4869" width="12.88671875" style="360" customWidth="1"/>
    <col min="4870" max="4870" width="11.44140625" style="360" customWidth="1"/>
    <col min="4871" max="5114" width="11.44140625" style="360"/>
    <col min="5115" max="5115" width="35.6640625" style="360" customWidth="1"/>
    <col min="5116" max="5116" width="15.6640625" style="360" customWidth="1"/>
    <col min="5117" max="5119" width="0" style="360" hidden="1" customWidth="1"/>
    <col min="5120" max="5120" width="3.33203125" style="360" customWidth="1"/>
    <col min="5121" max="5123" width="15.6640625" style="360" customWidth="1"/>
    <col min="5124" max="5124" width="11.44140625" style="360"/>
    <col min="5125" max="5125" width="12.88671875" style="360" customWidth="1"/>
    <col min="5126" max="5126" width="11.44140625" style="360" customWidth="1"/>
    <col min="5127" max="5370" width="11.44140625" style="360"/>
    <col min="5371" max="5371" width="35.6640625" style="360" customWidth="1"/>
    <col min="5372" max="5372" width="15.6640625" style="360" customWidth="1"/>
    <col min="5373" max="5375" width="0" style="360" hidden="1" customWidth="1"/>
    <col min="5376" max="5376" width="3.33203125" style="360" customWidth="1"/>
    <col min="5377" max="5379" width="15.6640625" style="360" customWidth="1"/>
    <col min="5380" max="5380" width="11.44140625" style="360"/>
    <col min="5381" max="5381" width="12.88671875" style="360" customWidth="1"/>
    <col min="5382" max="5382" width="11.44140625" style="360" customWidth="1"/>
    <col min="5383" max="5626" width="11.44140625" style="360"/>
    <col min="5627" max="5627" width="35.6640625" style="360" customWidth="1"/>
    <col min="5628" max="5628" width="15.6640625" style="360" customWidth="1"/>
    <col min="5629" max="5631" width="0" style="360" hidden="1" customWidth="1"/>
    <col min="5632" max="5632" width="3.33203125" style="360" customWidth="1"/>
    <col min="5633" max="5635" width="15.6640625" style="360" customWidth="1"/>
    <col min="5636" max="5636" width="11.44140625" style="360"/>
    <col min="5637" max="5637" width="12.88671875" style="360" customWidth="1"/>
    <col min="5638" max="5638" width="11.44140625" style="360" customWidth="1"/>
    <col min="5639" max="5882" width="11.44140625" style="360"/>
    <col min="5883" max="5883" width="35.6640625" style="360" customWidth="1"/>
    <col min="5884" max="5884" width="15.6640625" style="360" customWidth="1"/>
    <col min="5885" max="5887" width="0" style="360" hidden="1" customWidth="1"/>
    <col min="5888" max="5888" width="3.33203125" style="360" customWidth="1"/>
    <col min="5889" max="5891" width="15.6640625" style="360" customWidth="1"/>
    <col min="5892" max="5892" width="11.44140625" style="360"/>
    <col min="5893" max="5893" width="12.88671875" style="360" customWidth="1"/>
    <col min="5894" max="5894" width="11.44140625" style="360" customWidth="1"/>
    <col min="5895" max="6138" width="11.44140625" style="360"/>
    <col min="6139" max="6139" width="35.6640625" style="360" customWidth="1"/>
    <col min="6140" max="6140" width="15.6640625" style="360" customWidth="1"/>
    <col min="6141" max="6143" width="0" style="360" hidden="1" customWidth="1"/>
    <col min="6144" max="6144" width="3.33203125" style="360" customWidth="1"/>
    <col min="6145" max="6147" width="15.6640625" style="360" customWidth="1"/>
    <col min="6148" max="6148" width="11.44140625" style="360"/>
    <col min="6149" max="6149" width="12.88671875" style="360" customWidth="1"/>
    <col min="6150" max="6150" width="11.44140625" style="360" customWidth="1"/>
    <col min="6151" max="6394" width="11.44140625" style="360"/>
    <col min="6395" max="6395" width="35.6640625" style="360" customWidth="1"/>
    <col min="6396" max="6396" width="15.6640625" style="360" customWidth="1"/>
    <col min="6397" max="6399" width="0" style="360" hidden="1" customWidth="1"/>
    <col min="6400" max="6400" width="3.33203125" style="360" customWidth="1"/>
    <col min="6401" max="6403" width="15.6640625" style="360" customWidth="1"/>
    <col min="6404" max="6404" width="11.44140625" style="360"/>
    <col min="6405" max="6405" width="12.88671875" style="360" customWidth="1"/>
    <col min="6406" max="6406" width="11.44140625" style="360" customWidth="1"/>
    <col min="6407" max="6650" width="11.44140625" style="360"/>
    <col min="6651" max="6651" width="35.6640625" style="360" customWidth="1"/>
    <col min="6652" max="6652" width="15.6640625" style="360" customWidth="1"/>
    <col min="6653" max="6655" width="0" style="360" hidden="1" customWidth="1"/>
    <col min="6656" max="6656" width="3.33203125" style="360" customWidth="1"/>
    <col min="6657" max="6659" width="15.6640625" style="360" customWidth="1"/>
    <col min="6660" max="6660" width="11.44140625" style="360"/>
    <col min="6661" max="6661" width="12.88671875" style="360" customWidth="1"/>
    <col min="6662" max="6662" width="11.44140625" style="360" customWidth="1"/>
    <col min="6663" max="6906" width="11.44140625" style="360"/>
    <col min="6907" max="6907" width="35.6640625" style="360" customWidth="1"/>
    <col min="6908" max="6908" width="15.6640625" style="360" customWidth="1"/>
    <col min="6909" max="6911" width="0" style="360" hidden="1" customWidth="1"/>
    <col min="6912" max="6912" width="3.33203125" style="360" customWidth="1"/>
    <col min="6913" max="6915" width="15.6640625" style="360" customWidth="1"/>
    <col min="6916" max="6916" width="11.44140625" style="360"/>
    <col min="6917" max="6917" width="12.88671875" style="360" customWidth="1"/>
    <col min="6918" max="6918" width="11.44140625" style="360" customWidth="1"/>
    <col min="6919" max="7162" width="11.44140625" style="360"/>
    <col min="7163" max="7163" width="35.6640625" style="360" customWidth="1"/>
    <col min="7164" max="7164" width="15.6640625" style="360" customWidth="1"/>
    <col min="7165" max="7167" width="0" style="360" hidden="1" customWidth="1"/>
    <col min="7168" max="7168" width="3.33203125" style="360" customWidth="1"/>
    <col min="7169" max="7171" width="15.6640625" style="360" customWidth="1"/>
    <col min="7172" max="7172" width="11.44140625" style="360"/>
    <col min="7173" max="7173" width="12.88671875" style="360" customWidth="1"/>
    <col min="7174" max="7174" width="11.44140625" style="360" customWidth="1"/>
    <col min="7175" max="7418" width="11.44140625" style="360"/>
    <col min="7419" max="7419" width="35.6640625" style="360" customWidth="1"/>
    <col min="7420" max="7420" width="15.6640625" style="360" customWidth="1"/>
    <col min="7421" max="7423" width="0" style="360" hidden="1" customWidth="1"/>
    <col min="7424" max="7424" width="3.33203125" style="360" customWidth="1"/>
    <col min="7425" max="7427" width="15.6640625" style="360" customWidth="1"/>
    <col min="7428" max="7428" width="11.44140625" style="360"/>
    <col min="7429" max="7429" width="12.88671875" style="360" customWidth="1"/>
    <col min="7430" max="7430" width="11.44140625" style="360" customWidth="1"/>
    <col min="7431" max="7674" width="11.44140625" style="360"/>
    <col min="7675" max="7675" width="35.6640625" style="360" customWidth="1"/>
    <col min="7676" max="7676" width="15.6640625" style="360" customWidth="1"/>
    <col min="7677" max="7679" width="0" style="360" hidden="1" customWidth="1"/>
    <col min="7680" max="7680" width="3.33203125" style="360" customWidth="1"/>
    <col min="7681" max="7683" width="15.6640625" style="360" customWidth="1"/>
    <col min="7684" max="7684" width="11.44140625" style="360"/>
    <col min="7685" max="7685" width="12.88671875" style="360" customWidth="1"/>
    <col min="7686" max="7686" width="11.44140625" style="360" customWidth="1"/>
    <col min="7687" max="7930" width="11.44140625" style="360"/>
    <col min="7931" max="7931" width="35.6640625" style="360" customWidth="1"/>
    <col min="7932" max="7932" width="15.6640625" style="360" customWidth="1"/>
    <col min="7933" max="7935" width="0" style="360" hidden="1" customWidth="1"/>
    <col min="7936" max="7936" width="3.33203125" style="360" customWidth="1"/>
    <col min="7937" max="7939" width="15.6640625" style="360" customWidth="1"/>
    <col min="7940" max="7940" width="11.44140625" style="360"/>
    <col min="7941" max="7941" width="12.88671875" style="360" customWidth="1"/>
    <col min="7942" max="7942" width="11.44140625" style="360" customWidth="1"/>
    <col min="7943" max="8186" width="11.44140625" style="360"/>
    <col min="8187" max="8187" width="35.6640625" style="360" customWidth="1"/>
    <col min="8188" max="8188" width="15.6640625" style="360" customWidth="1"/>
    <col min="8189" max="8191" width="0" style="360" hidden="1" customWidth="1"/>
    <col min="8192" max="8192" width="3.33203125" style="360" customWidth="1"/>
    <col min="8193" max="8195" width="15.6640625" style="360" customWidth="1"/>
    <col min="8196" max="8196" width="11.44140625" style="360"/>
    <col min="8197" max="8197" width="12.88671875" style="360" customWidth="1"/>
    <col min="8198" max="8198" width="11.44140625" style="360" customWidth="1"/>
    <col min="8199" max="8442" width="11.44140625" style="360"/>
    <col min="8443" max="8443" width="35.6640625" style="360" customWidth="1"/>
    <col min="8444" max="8444" width="15.6640625" style="360" customWidth="1"/>
    <col min="8445" max="8447" width="0" style="360" hidden="1" customWidth="1"/>
    <col min="8448" max="8448" width="3.33203125" style="360" customWidth="1"/>
    <col min="8449" max="8451" width="15.6640625" style="360" customWidth="1"/>
    <col min="8452" max="8452" width="11.44140625" style="360"/>
    <col min="8453" max="8453" width="12.88671875" style="360" customWidth="1"/>
    <col min="8454" max="8454" width="11.44140625" style="360" customWidth="1"/>
    <col min="8455" max="8698" width="11.44140625" style="360"/>
    <col min="8699" max="8699" width="35.6640625" style="360" customWidth="1"/>
    <col min="8700" max="8700" width="15.6640625" style="360" customWidth="1"/>
    <col min="8701" max="8703" width="0" style="360" hidden="1" customWidth="1"/>
    <col min="8704" max="8704" width="3.33203125" style="360" customWidth="1"/>
    <col min="8705" max="8707" width="15.6640625" style="360" customWidth="1"/>
    <col min="8708" max="8708" width="11.44140625" style="360"/>
    <col min="8709" max="8709" width="12.88671875" style="360" customWidth="1"/>
    <col min="8710" max="8710" width="11.44140625" style="360" customWidth="1"/>
    <col min="8711" max="8954" width="11.44140625" style="360"/>
    <col min="8955" max="8955" width="35.6640625" style="360" customWidth="1"/>
    <col min="8956" max="8956" width="15.6640625" style="360" customWidth="1"/>
    <col min="8957" max="8959" width="0" style="360" hidden="1" customWidth="1"/>
    <col min="8960" max="8960" width="3.33203125" style="360" customWidth="1"/>
    <col min="8961" max="8963" width="15.6640625" style="360" customWidth="1"/>
    <col min="8964" max="8964" width="11.44140625" style="360"/>
    <col min="8965" max="8965" width="12.88671875" style="360" customWidth="1"/>
    <col min="8966" max="8966" width="11.44140625" style="360" customWidth="1"/>
    <col min="8967" max="9210" width="11.44140625" style="360"/>
    <col min="9211" max="9211" width="35.6640625" style="360" customWidth="1"/>
    <col min="9212" max="9212" width="15.6640625" style="360" customWidth="1"/>
    <col min="9213" max="9215" width="0" style="360" hidden="1" customWidth="1"/>
    <col min="9216" max="9216" width="3.33203125" style="360" customWidth="1"/>
    <col min="9217" max="9219" width="15.6640625" style="360" customWidth="1"/>
    <col min="9220" max="9220" width="11.44140625" style="360"/>
    <col min="9221" max="9221" width="12.88671875" style="360" customWidth="1"/>
    <col min="9222" max="9222" width="11.44140625" style="360" customWidth="1"/>
    <col min="9223" max="9466" width="11.44140625" style="360"/>
    <col min="9467" max="9467" width="35.6640625" style="360" customWidth="1"/>
    <col min="9468" max="9468" width="15.6640625" style="360" customWidth="1"/>
    <col min="9469" max="9471" width="0" style="360" hidden="1" customWidth="1"/>
    <col min="9472" max="9472" width="3.33203125" style="360" customWidth="1"/>
    <col min="9473" max="9475" width="15.6640625" style="360" customWidth="1"/>
    <col min="9476" max="9476" width="11.44140625" style="360"/>
    <col min="9477" max="9477" width="12.88671875" style="360" customWidth="1"/>
    <col min="9478" max="9478" width="11.44140625" style="360" customWidth="1"/>
    <col min="9479" max="9722" width="11.44140625" style="360"/>
    <col min="9723" max="9723" width="35.6640625" style="360" customWidth="1"/>
    <col min="9724" max="9724" width="15.6640625" style="360" customWidth="1"/>
    <col min="9725" max="9727" width="0" style="360" hidden="1" customWidth="1"/>
    <col min="9728" max="9728" width="3.33203125" style="360" customWidth="1"/>
    <col min="9729" max="9731" width="15.6640625" style="360" customWidth="1"/>
    <col min="9732" max="9732" width="11.44140625" style="360"/>
    <col min="9733" max="9733" width="12.88671875" style="360" customWidth="1"/>
    <col min="9734" max="9734" width="11.44140625" style="360" customWidth="1"/>
    <col min="9735" max="9978" width="11.44140625" style="360"/>
    <col min="9979" max="9979" width="35.6640625" style="360" customWidth="1"/>
    <col min="9980" max="9980" width="15.6640625" style="360" customWidth="1"/>
    <col min="9981" max="9983" width="0" style="360" hidden="1" customWidth="1"/>
    <col min="9984" max="9984" width="3.33203125" style="360" customWidth="1"/>
    <col min="9985" max="9987" width="15.6640625" style="360" customWidth="1"/>
    <col min="9988" max="9988" width="11.44140625" style="360"/>
    <col min="9989" max="9989" width="12.88671875" style="360" customWidth="1"/>
    <col min="9990" max="9990" width="11.44140625" style="360" customWidth="1"/>
    <col min="9991" max="10234" width="11.44140625" style="360"/>
    <col min="10235" max="10235" width="35.6640625" style="360" customWidth="1"/>
    <col min="10236" max="10236" width="15.6640625" style="360" customWidth="1"/>
    <col min="10237" max="10239" width="0" style="360" hidden="1" customWidth="1"/>
    <col min="10240" max="10240" width="3.33203125" style="360" customWidth="1"/>
    <col min="10241" max="10243" width="15.6640625" style="360" customWidth="1"/>
    <col min="10244" max="10244" width="11.44140625" style="360"/>
    <col min="10245" max="10245" width="12.88671875" style="360" customWidth="1"/>
    <col min="10246" max="10246" width="11.44140625" style="360" customWidth="1"/>
    <col min="10247" max="10490" width="11.44140625" style="360"/>
    <col min="10491" max="10491" width="35.6640625" style="360" customWidth="1"/>
    <col min="10492" max="10492" width="15.6640625" style="360" customWidth="1"/>
    <col min="10493" max="10495" width="0" style="360" hidden="1" customWidth="1"/>
    <col min="10496" max="10496" width="3.33203125" style="360" customWidth="1"/>
    <col min="10497" max="10499" width="15.6640625" style="360" customWidth="1"/>
    <col min="10500" max="10500" width="11.44140625" style="360"/>
    <col min="10501" max="10501" width="12.88671875" style="360" customWidth="1"/>
    <col min="10502" max="10502" width="11.44140625" style="360" customWidth="1"/>
    <col min="10503" max="10746" width="11.44140625" style="360"/>
    <col min="10747" max="10747" width="35.6640625" style="360" customWidth="1"/>
    <col min="10748" max="10748" width="15.6640625" style="360" customWidth="1"/>
    <col min="10749" max="10751" width="0" style="360" hidden="1" customWidth="1"/>
    <col min="10752" max="10752" width="3.33203125" style="360" customWidth="1"/>
    <col min="10753" max="10755" width="15.6640625" style="360" customWidth="1"/>
    <col min="10756" max="10756" width="11.44140625" style="360"/>
    <col min="10757" max="10757" width="12.88671875" style="360" customWidth="1"/>
    <col min="10758" max="10758" width="11.44140625" style="360" customWidth="1"/>
    <col min="10759" max="11002" width="11.44140625" style="360"/>
    <col min="11003" max="11003" width="35.6640625" style="360" customWidth="1"/>
    <col min="11004" max="11004" width="15.6640625" style="360" customWidth="1"/>
    <col min="11005" max="11007" width="0" style="360" hidden="1" customWidth="1"/>
    <col min="11008" max="11008" width="3.33203125" style="360" customWidth="1"/>
    <col min="11009" max="11011" width="15.6640625" style="360" customWidth="1"/>
    <col min="11012" max="11012" width="11.44140625" style="360"/>
    <col min="11013" max="11013" width="12.88671875" style="360" customWidth="1"/>
    <col min="11014" max="11014" width="11.44140625" style="360" customWidth="1"/>
    <col min="11015" max="11258" width="11.44140625" style="360"/>
    <col min="11259" max="11259" width="35.6640625" style="360" customWidth="1"/>
    <col min="11260" max="11260" width="15.6640625" style="360" customWidth="1"/>
    <col min="11261" max="11263" width="0" style="360" hidden="1" customWidth="1"/>
    <col min="11264" max="11264" width="3.33203125" style="360" customWidth="1"/>
    <col min="11265" max="11267" width="15.6640625" style="360" customWidth="1"/>
    <col min="11268" max="11268" width="11.44140625" style="360"/>
    <col min="11269" max="11269" width="12.88671875" style="360" customWidth="1"/>
    <col min="11270" max="11270" width="11.44140625" style="360" customWidth="1"/>
    <col min="11271" max="11514" width="11.44140625" style="360"/>
    <col min="11515" max="11515" width="35.6640625" style="360" customWidth="1"/>
    <col min="11516" max="11516" width="15.6640625" style="360" customWidth="1"/>
    <col min="11517" max="11519" width="0" style="360" hidden="1" customWidth="1"/>
    <col min="11520" max="11520" width="3.33203125" style="360" customWidth="1"/>
    <col min="11521" max="11523" width="15.6640625" style="360" customWidth="1"/>
    <col min="11524" max="11524" width="11.44140625" style="360"/>
    <col min="11525" max="11525" width="12.88671875" style="360" customWidth="1"/>
    <col min="11526" max="11526" width="11.44140625" style="360" customWidth="1"/>
    <col min="11527" max="11770" width="11.44140625" style="360"/>
    <col min="11771" max="11771" width="35.6640625" style="360" customWidth="1"/>
    <col min="11772" max="11772" width="15.6640625" style="360" customWidth="1"/>
    <col min="11773" max="11775" width="0" style="360" hidden="1" customWidth="1"/>
    <col min="11776" max="11776" width="3.33203125" style="360" customWidth="1"/>
    <col min="11777" max="11779" width="15.6640625" style="360" customWidth="1"/>
    <col min="11780" max="11780" width="11.44140625" style="360"/>
    <col min="11781" max="11781" width="12.88671875" style="360" customWidth="1"/>
    <col min="11782" max="11782" width="11.44140625" style="360" customWidth="1"/>
    <col min="11783" max="12026" width="11.44140625" style="360"/>
    <col min="12027" max="12027" width="35.6640625" style="360" customWidth="1"/>
    <col min="12028" max="12028" width="15.6640625" style="360" customWidth="1"/>
    <col min="12029" max="12031" width="0" style="360" hidden="1" customWidth="1"/>
    <col min="12032" max="12032" width="3.33203125" style="360" customWidth="1"/>
    <col min="12033" max="12035" width="15.6640625" style="360" customWidth="1"/>
    <col min="12036" max="12036" width="11.44140625" style="360"/>
    <col min="12037" max="12037" width="12.88671875" style="360" customWidth="1"/>
    <col min="12038" max="12038" width="11.44140625" style="360" customWidth="1"/>
    <col min="12039" max="12282" width="11.44140625" style="360"/>
    <col min="12283" max="12283" width="35.6640625" style="360" customWidth="1"/>
    <col min="12284" max="12284" width="15.6640625" style="360" customWidth="1"/>
    <col min="12285" max="12287" width="0" style="360" hidden="1" customWidth="1"/>
    <col min="12288" max="12288" width="3.33203125" style="360" customWidth="1"/>
    <col min="12289" max="12291" width="15.6640625" style="360" customWidth="1"/>
    <col min="12292" max="12292" width="11.44140625" style="360"/>
    <col min="12293" max="12293" width="12.88671875" style="360" customWidth="1"/>
    <col min="12294" max="12294" width="11.44140625" style="360" customWidth="1"/>
    <col min="12295" max="12538" width="11.44140625" style="360"/>
    <col min="12539" max="12539" width="35.6640625" style="360" customWidth="1"/>
    <col min="12540" max="12540" width="15.6640625" style="360" customWidth="1"/>
    <col min="12541" max="12543" width="0" style="360" hidden="1" customWidth="1"/>
    <col min="12544" max="12544" width="3.33203125" style="360" customWidth="1"/>
    <col min="12545" max="12547" width="15.6640625" style="360" customWidth="1"/>
    <col min="12548" max="12548" width="11.44140625" style="360"/>
    <col min="12549" max="12549" width="12.88671875" style="360" customWidth="1"/>
    <col min="12550" max="12550" width="11.44140625" style="360" customWidth="1"/>
    <col min="12551" max="12794" width="11.44140625" style="360"/>
    <col min="12795" max="12795" width="35.6640625" style="360" customWidth="1"/>
    <col min="12796" max="12796" width="15.6640625" style="360" customWidth="1"/>
    <col min="12797" max="12799" width="0" style="360" hidden="1" customWidth="1"/>
    <col min="12800" max="12800" width="3.33203125" style="360" customWidth="1"/>
    <col min="12801" max="12803" width="15.6640625" style="360" customWidth="1"/>
    <col min="12804" max="12804" width="11.44140625" style="360"/>
    <col min="12805" max="12805" width="12.88671875" style="360" customWidth="1"/>
    <col min="12806" max="12806" width="11.44140625" style="360" customWidth="1"/>
    <col min="12807" max="13050" width="11.44140625" style="360"/>
    <col min="13051" max="13051" width="35.6640625" style="360" customWidth="1"/>
    <col min="13052" max="13052" width="15.6640625" style="360" customWidth="1"/>
    <col min="13053" max="13055" width="0" style="360" hidden="1" customWidth="1"/>
    <col min="13056" max="13056" width="3.33203125" style="360" customWidth="1"/>
    <col min="13057" max="13059" width="15.6640625" style="360" customWidth="1"/>
    <col min="13060" max="13060" width="11.44140625" style="360"/>
    <col min="13061" max="13061" width="12.88671875" style="360" customWidth="1"/>
    <col min="13062" max="13062" width="11.44140625" style="360" customWidth="1"/>
    <col min="13063" max="13306" width="11.44140625" style="360"/>
    <col min="13307" max="13307" width="35.6640625" style="360" customWidth="1"/>
    <col min="13308" max="13308" width="15.6640625" style="360" customWidth="1"/>
    <col min="13309" max="13311" width="0" style="360" hidden="1" customWidth="1"/>
    <col min="13312" max="13312" width="3.33203125" style="360" customWidth="1"/>
    <col min="13313" max="13315" width="15.6640625" style="360" customWidth="1"/>
    <col min="13316" max="13316" width="11.44140625" style="360"/>
    <col min="13317" max="13317" width="12.88671875" style="360" customWidth="1"/>
    <col min="13318" max="13318" width="11.44140625" style="360" customWidth="1"/>
    <col min="13319" max="13562" width="11.44140625" style="360"/>
    <col min="13563" max="13563" width="35.6640625" style="360" customWidth="1"/>
    <col min="13564" max="13564" width="15.6640625" style="360" customWidth="1"/>
    <col min="13565" max="13567" width="0" style="360" hidden="1" customWidth="1"/>
    <col min="13568" max="13568" width="3.33203125" style="360" customWidth="1"/>
    <col min="13569" max="13571" width="15.6640625" style="360" customWidth="1"/>
    <col min="13572" max="13572" width="11.44140625" style="360"/>
    <col min="13573" max="13573" width="12.88671875" style="360" customWidth="1"/>
    <col min="13574" max="13574" width="11.44140625" style="360" customWidth="1"/>
    <col min="13575" max="13818" width="11.44140625" style="360"/>
    <col min="13819" max="13819" width="35.6640625" style="360" customWidth="1"/>
    <col min="13820" max="13820" width="15.6640625" style="360" customWidth="1"/>
    <col min="13821" max="13823" width="0" style="360" hidden="1" customWidth="1"/>
    <col min="13824" max="13824" width="3.33203125" style="360" customWidth="1"/>
    <col min="13825" max="13827" width="15.6640625" style="360" customWidth="1"/>
    <col min="13828" max="13828" width="11.44140625" style="360"/>
    <col min="13829" max="13829" width="12.88671875" style="360" customWidth="1"/>
    <col min="13830" max="13830" width="11.44140625" style="360" customWidth="1"/>
    <col min="13831" max="14074" width="11.44140625" style="360"/>
    <col min="14075" max="14075" width="35.6640625" style="360" customWidth="1"/>
    <col min="14076" max="14076" width="15.6640625" style="360" customWidth="1"/>
    <col min="14077" max="14079" width="0" style="360" hidden="1" customWidth="1"/>
    <col min="14080" max="14080" width="3.33203125" style="360" customWidth="1"/>
    <col min="14081" max="14083" width="15.6640625" style="360" customWidth="1"/>
    <col min="14084" max="14084" width="11.44140625" style="360"/>
    <col min="14085" max="14085" width="12.88671875" style="360" customWidth="1"/>
    <col min="14086" max="14086" width="11.44140625" style="360" customWidth="1"/>
    <col min="14087" max="14330" width="11.44140625" style="360"/>
    <col min="14331" max="14331" width="35.6640625" style="360" customWidth="1"/>
    <col min="14332" max="14332" width="15.6640625" style="360" customWidth="1"/>
    <col min="14333" max="14335" width="0" style="360" hidden="1" customWidth="1"/>
    <col min="14336" max="14336" width="3.33203125" style="360" customWidth="1"/>
    <col min="14337" max="14339" width="15.6640625" style="360" customWidth="1"/>
    <col min="14340" max="14340" width="11.44140625" style="360"/>
    <col min="14341" max="14341" width="12.88671875" style="360" customWidth="1"/>
    <col min="14342" max="14342" width="11.44140625" style="360" customWidth="1"/>
    <col min="14343" max="14586" width="11.44140625" style="360"/>
    <col min="14587" max="14587" width="35.6640625" style="360" customWidth="1"/>
    <col min="14588" max="14588" width="15.6640625" style="360" customWidth="1"/>
    <col min="14589" max="14591" width="0" style="360" hidden="1" customWidth="1"/>
    <col min="14592" max="14592" width="3.33203125" style="360" customWidth="1"/>
    <col min="14593" max="14595" width="15.6640625" style="360" customWidth="1"/>
    <col min="14596" max="14596" width="11.44140625" style="360"/>
    <col min="14597" max="14597" width="12.88671875" style="360" customWidth="1"/>
    <col min="14598" max="14598" width="11.44140625" style="360" customWidth="1"/>
    <col min="14599" max="14842" width="11.44140625" style="360"/>
    <col min="14843" max="14843" width="35.6640625" style="360" customWidth="1"/>
    <col min="14844" max="14844" width="15.6640625" style="360" customWidth="1"/>
    <col min="14845" max="14847" width="0" style="360" hidden="1" customWidth="1"/>
    <col min="14848" max="14848" width="3.33203125" style="360" customWidth="1"/>
    <col min="14849" max="14851" width="15.6640625" style="360" customWidth="1"/>
    <col min="14852" max="14852" width="11.44140625" style="360"/>
    <col min="14853" max="14853" width="12.88671875" style="360" customWidth="1"/>
    <col min="14854" max="14854" width="11.44140625" style="360" customWidth="1"/>
    <col min="14855" max="15098" width="11.44140625" style="360"/>
    <col min="15099" max="15099" width="35.6640625" style="360" customWidth="1"/>
    <col min="15100" max="15100" width="15.6640625" style="360" customWidth="1"/>
    <col min="15101" max="15103" width="0" style="360" hidden="1" customWidth="1"/>
    <col min="15104" max="15104" width="3.33203125" style="360" customWidth="1"/>
    <col min="15105" max="15107" width="15.6640625" style="360" customWidth="1"/>
    <col min="15108" max="15108" width="11.44140625" style="360"/>
    <col min="15109" max="15109" width="12.88671875" style="360" customWidth="1"/>
    <col min="15110" max="15110" width="11.44140625" style="360" customWidth="1"/>
    <col min="15111" max="15354" width="11.44140625" style="360"/>
    <col min="15355" max="15355" width="35.6640625" style="360" customWidth="1"/>
    <col min="15356" max="15356" width="15.6640625" style="360" customWidth="1"/>
    <col min="15357" max="15359" width="0" style="360" hidden="1" customWidth="1"/>
    <col min="15360" max="15360" width="3.33203125" style="360" customWidth="1"/>
    <col min="15361" max="15363" width="15.6640625" style="360" customWidth="1"/>
    <col min="15364" max="15364" width="11.44140625" style="360"/>
    <col min="15365" max="15365" width="12.88671875" style="360" customWidth="1"/>
    <col min="15366" max="15366" width="11.44140625" style="360" customWidth="1"/>
    <col min="15367" max="15610" width="11.44140625" style="360"/>
    <col min="15611" max="15611" width="35.6640625" style="360" customWidth="1"/>
    <col min="15612" max="15612" width="15.6640625" style="360" customWidth="1"/>
    <col min="15613" max="15615" width="0" style="360" hidden="1" customWidth="1"/>
    <col min="15616" max="15616" width="3.33203125" style="360" customWidth="1"/>
    <col min="15617" max="15619" width="15.6640625" style="360" customWidth="1"/>
    <col min="15620" max="15620" width="11.44140625" style="360"/>
    <col min="15621" max="15621" width="12.88671875" style="360" customWidth="1"/>
    <col min="15622" max="15622" width="11.44140625" style="360" customWidth="1"/>
    <col min="15623" max="15866" width="11.44140625" style="360"/>
    <col min="15867" max="15867" width="35.6640625" style="360" customWidth="1"/>
    <col min="15868" max="15868" width="15.6640625" style="360" customWidth="1"/>
    <col min="15869" max="15871" width="0" style="360" hidden="1" customWidth="1"/>
    <col min="15872" max="15872" width="3.33203125" style="360" customWidth="1"/>
    <col min="15873" max="15875" width="15.6640625" style="360" customWidth="1"/>
    <col min="15876" max="15876" width="11.44140625" style="360"/>
    <col min="15877" max="15877" width="12.88671875" style="360" customWidth="1"/>
    <col min="15878" max="15878" width="11.44140625" style="360" customWidth="1"/>
    <col min="15879" max="16122" width="11.44140625" style="360"/>
    <col min="16123" max="16123" width="35.6640625" style="360" customWidth="1"/>
    <col min="16124" max="16124" width="15.6640625" style="360" customWidth="1"/>
    <col min="16125" max="16127" width="0" style="360" hidden="1" customWidth="1"/>
    <col min="16128" max="16128" width="3.33203125" style="360" customWidth="1"/>
    <col min="16129" max="16131" width="15.6640625" style="360" customWidth="1"/>
    <col min="16132" max="16132" width="11.44140625" style="360"/>
    <col min="16133" max="16133" width="12.88671875" style="360" customWidth="1"/>
    <col min="16134" max="16134" width="11.44140625" style="360" customWidth="1"/>
    <col min="16135" max="16384" width="11.44140625" style="360"/>
  </cols>
  <sheetData>
    <row r="1" spans="1:9" ht="25.8" x14ac:dyDescent="0.5">
      <c r="A1" s="622" t="s">
        <v>329</v>
      </c>
      <c r="B1" s="654"/>
      <c r="C1" s="654"/>
      <c r="D1" s="654"/>
      <c r="E1" s="654"/>
      <c r="F1" s="655"/>
    </row>
    <row r="2" spans="1:9" ht="25.8" x14ac:dyDescent="0.5">
      <c r="A2" s="656" t="s">
        <v>155</v>
      </c>
      <c r="B2" s="657"/>
      <c r="C2" s="657"/>
      <c r="D2" s="658"/>
      <c r="E2" s="658"/>
      <c r="F2" s="624" t="str">
        <f>+Stammdaten!D2</f>
        <v>Version 1.7</v>
      </c>
    </row>
    <row r="3" spans="1:9" x14ac:dyDescent="0.3">
      <c r="A3" s="393">
        <f>+Stammdaten!B5</f>
        <v>0</v>
      </c>
      <c r="B3" s="307">
        <f>+Stammdaten!B3</f>
        <v>0</v>
      </c>
      <c r="C3" s="659"/>
      <c r="D3" s="625" t="s">
        <v>41</v>
      </c>
      <c r="E3" s="660"/>
      <c r="F3" s="626"/>
    </row>
    <row r="4" spans="1:9" ht="15.6" customHeight="1" thickBot="1" x14ac:dyDescent="0.45">
      <c r="A4" s="362"/>
      <c r="B4" s="361"/>
      <c r="C4" s="361"/>
      <c r="D4" s="361"/>
      <c r="E4" s="361"/>
      <c r="F4" s="363"/>
    </row>
    <row r="5" spans="1:9" ht="120" customHeight="1" thickBot="1" x14ac:dyDescent="0.35">
      <c r="A5" s="1020" t="s">
        <v>289</v>
      </c>
      <c r="B5" s="979"/>
      <c r="C5" s="979"/>
      <c r="D5" s="979"/>
      <c r="E5" s="979"/>
      <c r="F5" s="1015"/>
      <c r="G5" s="557"/>
    </row>
    <row r="6" spans="1:9" ht="36" customHeight="1" x14ac:dyDescent="0.3">
      <c r="A6" s="1037" t="s">
        <v>283</v>
      </c>
      <c r="B6" s="1038"/>
      <c r="C6" s="1039"/>
      <c r="D6" s="1011"/>
      <c r="E6" s="558" t="str">
        <f>+IF(D6="x","Anteil persönl.
Wohnfläche","")</f>
        <v/>
      </c>
      <c r="F6" s="559" t="str">
        <f>+IF(D6="x",'A Flächen'!E174,"")</f>
        <v/>
      </c>
      <c r="G6" s="405" t="str">
        <f>+IF(AND(D6="x",D8="x"),"Bitte wählen Sie ENTWEDER Kosten nur für Heimbereich ODER die Kosten für Gesamtgebäude inkl. freier Flächen!","")</f>
        <v/>
      </c>
    </row>
    <row r="7" spans="1:9" ht="18.600000000000001" thickBot="1" x14ac:dyDescent="0.35">
      <c r="A7" s="531"/>
      <c r="B7" s="530"/>
      <c r="C7" s="524" t="s">
        <v>271</v>
      </c>
      <c r="D7" s="1036"/>
      <c r="E7" s="533" t="str">
        <f>+IF(D6="x","Anteil Fachleist.
Fläche","")</f>
        <v/>
      </c>
      <c r="F7" s="560" t="str">
        <f>+IF(D6="x",'A Flächen'!E175,"")</f>
        <v/>
      </c>
      <c r="G7" s="405" t="str">
        <f>+IF(AND(D6="",D8=""),"Bitte wählen Sie ENTWEDER Kosten nur Heimbereich ODER Kosten für Gesamtgebäude inkl. freier Flächen!","")</f>
        <v>Bitte wählen Sie ENTWEDER Kosten nur Heimbereich ODER Kosten für Gesamtgebäude inkl. freier Flächen!</v>
      </c>
    </row>
    <row r="8" spans="1:9" ht="48" customHeight="1" x14ac:dyDescent="0.3">
      <c r="A8" s="1037" t="s">
        <v>284</v>
      </c>
      <c r="B8" s="1038"/>
      <c r="C8" s="1039"/>
      <c r="D8" s="1011"/>
      <c r="E8" s="558" t="str">
        <f>+IF(D8="x","Anteil persönl.
Wohnfläche","")</f>
        <v/>
      </c>
      <c r="F8" s="559" t="str">
        <f>+IF(D8="x",'A Flächen'!E169,"")</f>
        <v/>
      </c>
      <c r="G8" s="547"/>
    </row>
    <row r="9" spans="1:9" ht="31.5" customHeight="1" thickBot="1" x14ac:dyDescent="0.35">
      <c r="A9" s="532"/>
      <c r="B9" s="530"/>
      <c r="C9" s="524" t="s">
        <v>272</v>
      </c>
      <c r="D9" s="1036"/>
      <c r="E9" s="533" t="str">
        <f>+IF(D8="x","Anteil Fachleist.
Fläche","")</f>
        <v/>
      </c>
      <c r="F9" s="560" t="str">
        <f>+IF(D8="x",'A Flächen'!E170,"")</f>
        <v/>
      </c>
      <c r="G9" s="547"/>
    </row>
    <row r="10" spans="1:9" ht="21" x14ac:dyDescent="0.4">
      <c r="A10" s="362"/>
      <c r="B10" s="361"/>
      <c r="C10" s="361"/>
      <c r="D10" s="361"/>
      <c r="E10" s="361"/>
      <c r="F10" s="363"/>
      <c r="G10" s="557"/>
    </row>
    <row r="11" spans="1:9" ht="30" customHeight="1" x14ac:dyDescent="0.3">
      <c r="A11" s="928" t="s">
        <v>101</v>
      </c>
      <c r="B11" s="929"/>
      <c r="C11" s="667" t="s">
        <v>20</v>
      </c>
      <c r="D11" s="930" t="s">
        <v>22</v>
      </c>
      <c r="E11" s="931" t="s">
        <v>176</v>
      </c>
      <c r="F11" s="667" t="s">
        <v>21</v>
      </c>
      <c r="G11" s="557"/>
      <c r="I11" s="360"/>
    </row>
    <row r="12" spans="1:9" ht="15.75" customHeight="1" x14ac:dyDescent="0.3">
      <c r="A12" s="932"/>
      <c r="B12" s="933"/>
      <c r="C12" s="671"/>
      <c r="D12" s="934" t="s">
        <v>102</v>
      </c>
      <c r="E12" s="935" t="s">
        <v>177</v>
      </c>
      <c r="F12" s="671" t="s">
        <v>102</v>
      </c>
      <c r="I12" s="360"/>
    </row>
    <row r="13" spans="1:9" ht="15" thickBot="1" x14ac:dyDescent="0.35">
      <c r="A13" s="936" t="s">
        <v>166</v>
      </c>
      <c r="B13" s="937"/>
      <c r="C13" s="675" t="s">
        <v>173</v>
      </c>
      <c r="D13" s="388" t="e">
        <f>+IF(D8="x",'A Flächen'!E169,'A Flächen'!E174)</f>
        <v>#DIV/0!</v>
      </c>
      <c r="E13" s="938"/>
      <c r="F13" s="389" t="e">
        <f>+IF(D8="x",'A Flächen'!E170,'A Flächen'!E175)</f>
        <v>#DIV/0!</v>
      </c>
      <c r="I13" s="360"/>
    </row>
    <row r="14" spans="1:9" x14ac:dyDescent="0.3">
      <c r="A14" s="364" t="s">
        <v>44</v>
      </c>
      <c r="B14" s="365"/>
      <c r="C14" s="366"/>
      <c r="D14" s="380" t="e">
        <f t="shared" ref="D14:D31" si="0">+C14*$D$13</f>
        <v>#DIV/0!</v>
      </c>
      <c r="E14" s="381" t="e">
        <f>+D14/Stammdaten!$B$7/12</f>
        <v>#DIV/0!</v>
      </c>
      <c r="F14" s="382" t="e">
        <f t="shared" ref="F14:F31" si="1">+C14*$F$13</f>
        <v>#DIV/0!</v>
      </c>
      <c r="I14" s="360"/>
    </row>
    <row r="15" spans="1:9" x14ac:dyDescent="0.3">
      <c r="A15" s="367" t="s">
        <v>45</v>
      </c>
      <c r="B15" s="368"/>
      <c r="C15" s="207"/>
      <c r="D15" s="383" t="e">
        <f t="shared" si="0"/>
        <v>#DIV/0!</v>
      </c>
      <c r="E15" s="381" t="e">
        <f>+D15/Stammdaten!$B$7/12</f>
        <v>#DIV/0!</v>
      </c>
      <c r="F15" s="382" t="e">
        <f t="shared" si="1"/>
        <v>#DIV/0!</v>
      </c>
      <c r="I15" s="360"/>
    </row>
    <row r="16" spans="1:9" x14ac:dyDescent="0.3">
      <c r="A16" s="367" t="s">
        <v>46</v>
      </c>
      <c r="B16" s="368"/>
      <c r="C16" s="207"/>
      <c r="D16" s="383" t="e">
        <f t="shared" si="0"/>
        <v>#DIV/0!</v>
      </c>
      <c r="E16" s="381" t="e">
        <f>+D16/Stammdaten!$B$7/12</f>
        <v>#DIV/0!</v>
      </c>
      <c r="F16" s="382" t="e">
        <f t="shared" si="1"/>
        <v>#DIV/0!</v>
      </c>
      <c r="I16" s="360"/>
    </row>
    <row r="17" spans="1:9" x14ac:dyDescent="0.3">
      <c r="A17" s="367" t="s">
        <v>47</v>
      </c>
      <c r="B17" s="368"/>
      <c r="C17" s="207"/>
      <c r="D17" s="383" t="e">
        <f t="shared" si="0"/>
        <v>#DIV/0!</v>
      </c>
      <c r="E17" s="381" t="e">
        <f>+D17/Stammdaten!$B$7/12</f>
        <v>#DIV/0!</v>
      </c>
      <c r="F17" s="382" t="e">
        <f t="shared" si="1"/>
        <v>#DIV/0!</v>
      </c>
      <c r="I17" s="360"/>
    </row>
    <row r="18" spans="1:9" x14ac:dyDescent="0.3">
      <c r="A18" s="367" t="s">
        <v>48</v>
      </c>
      <c r="B18" s="368"/>
      <c r="C18" s="207"/>
      <c r="D18" s="383" t="e">
        <f t="shared" si="0"/>
        <v>#DIV/0!</v>
      </c>
      <c r="E18" s="381" t="e">
        <f>+D18/Stammdaten!$B$7/12</f>
        <v>#DIV/0!</v>
      </c>
      <c r="F18" s="382" t="e">
        <f t="shared" si="1"/>
        <v>#DIV/0!</v>
      </c>
      <c r="I18" s="360"/>
    </row>
    <row r="19" spans="1:9" x14ac:dyDescent="0.3">
      <c r="A19" s="367" t="s">
        <v>49</v>
      </c>
      <c r="B19" s="368"/>
      <c r="C19" s="207"/>
      <c r="D19" s="383" t="e">
        <f t="shared" si="0"/>
        <v>#DIV/0!</v>
      </c>
      <c r="E19" s="381" t="e">
        <f>+D19/Stammdaten!$B$7/12</f>
        <v>#DIV/0!</v>
      </c>
      <c r="F19" s="382" t="e">
        <f t="shared" si="1"/>
        <v>#DIV/0!</v>
      </c>
      <c r="I19" s="360"/>
    </row>
    <row r="20" spans="1:9" x14ac:dyDescent="0.3">
      <c r="A20" s="367" t="s">
        <v>30</v>
      </c>
      <c r="B20" s="368"/>
      <c r="C20" s="207"/>
      <c r="D20" s="383" t="e">
        <f t="shared" si="0"/>
        <v>#DIV/0!</v>
      </c>
      <c r="E20" s="381" t="e">
        <f>+D20/Stammdaten!$B$7/12</f>
        <v>#DIV/0!</v>
      </c>
      <c r="F20" s="382" t="e">
        <f t="shared" si="1"/>
        <v>#DIV/0!</v>
      </c>
      <c r="I20" s="360"/>
    </row>
    <row r="21" spans="1:9" x14ac:dyDescent="0.3">
      <c r="A21" s="367" t="s">
        <v>31</v>
      </c>
      <c r="B21" s="368"/>
      <c r="C21" s="207"/>
      <c r="D21" s="383" t="e">
        <f t="shared" si="0"/>
        <v>#DIV/0!</v>
      </c>
      <c r="E21" s="381" t="e">
        <f>+D21/Stammdaten!$B$7/12</f>
        <v>#DIV/0!</v>
      </c>
      <c r="F21" s="382" t="e">
        <f t="shared" si="1"/>
        <v>#DIV/0!</v>
      </c>
      <c r="I21" s="360"/>
    </row>
    <row r="22" spans="1:9" x14ac:dyDescent="0.3">
      <c r="A22" s="367" t="s">
        <v>32</v>
      </c>
      <c r="B22" s="370"/>
      <c r="C22" s="371"/>
      <c r="D22" s="383" t="e">
        <f t="shared" si="0"/>
        <v>#DIV/0!</v>
      </c>
      <c r="E22" s="381" t="e">
        <f>+D22/Stammdaten!$B$7/12</f>
        <v>#DIV/0!</v>
      </c>
      <c r="F22" s="382" t="e">
        <f t="shared" si="1"/>
        <v>#DIV/0!</v>
      </c>
      <c r="I22" s="360"/>
    </row>
    <row r="23" spans="1:9" x14ac:dyDescent="0.3">
      <c r="A23" s="367" t="s">
        <v>33</v>
      </c>
      <c r="B23" s="370"/>
      <c r="C23" s="371"/>
      <c r="D23" s="383" t="e">
        <f t="shared" si="0"/>
        <v>#DIV/0!</v>
      </c>
      <c r="E23" s="381" t="e">
        <f>+D23/Stammdaten!$B$7/12</f>
        <v>#DIV/0!</v>
      </c>
      <c r="F23" s="382" t="e">
        <f t="shared" si="1"/>
        <v>#DIV/0!</v>
      </c>
    </row>
    <row r="24" spans="1:9" x14ac:dyDescent="0.3">
      <c r="A24" s="367" t="s">
        <v>34</v>
      </c>
      <c r="B24" s="370"/>
      <c r="C24" s="371"/>
      <c r="D24" s="383" t="e">
        <f t="shared" si="0"/>
        <v>#DIV/0!</v>
      </c>
      <c r="E24" s="381" t="e">
        <f>+D24/Stammdaten!$B$7/12</f>
        <v>#DIV/0!</v>
      </c>
      <c r="F24" s="382" t="e">
        <f t="shared" si="1"/>
        <v>#DIV/0!</v>
      </c>
    </row>
    <row r="25" spans="1:9" x14ac:dyDescent="0.3">
      <c r="A25" s="367" t="s">
        <v>35</v>
      </c>
      <c r="B25" s="370"/>
      <c r="C25" s="371"/>
      <c r="D25" s="383" t="e">
        <f t="shared" si="0"/>
        <v>#DIV/0!</v>
      </c>
      <c r="E25" s="381" t="e">
        <f>+D25/Stammdaten!$B$7/12</f>
        <v>#DIV/0!</v>
      </c>
      <c r="F25" s="382" t="e">
        <f t="shared" si="1"/>
        <v>#DIV/0!</v>
      </c>
    </row>
    <row r="26" spans="1:9" x14ac:dyDescent="0.3">
      <c r="A26" s="367" t="s">
        <v>36</v>
      </c>
      <c r="B26" s="370"/>
      <c r="C26" s="371"/>
      <c r="D26" s="383" t="e">
        <f t="shared" si="0"/>
        <v>#DIV/0!</v>
      </c>
      <c r="E26" s="381" t="e">
        <f>+D26/Stammdaten!$B$7/12</f>
        <v>#DIV/0!</v>
      </c>
      <c r="F26" s="382" t="e">
        <f t="shared" si="1"/>
        <v>#DIV/0!</v>
      </c>
    </row>
    <row r="27" spans="1:9" x14ac:dyDescent="0.3">
      <c r="A27" s="367" t="s">
        <v>191</v>
      </c>
      <c r="B27" s="370"/>
      <c r="C27" s="371"/>
      <c r="D27" s="383" t="e">
        <f t="shared" si="0"/>
        <v>#DIV/0!</v>
      </c>
      <c r="E27" s="381" t="e">
        <f>+D27/Stammdaten!$B$7/12</f>
        <v>#DIV/0!</v>
      </c>
      <c r="F27" s="382" t="e">
        <f t="shared" si="1"/>
        <v>#DIV/0!</v>
      </c>
    </row>
    <row r="28" spans="1:9" x14ac:dyDescent="0.3">
      <c r="A28" s="367" t="s">
        <v>39</v>
      </c>
      <c r="B28" s="370"/>
      <c r="C28" s="371"/>
      <c r="D28" s="383" t="e">
        <f t="shared" si="0"/>
        <v>#DIV/0!</v>
      </c>
      <c r="E28" s="381" t="e">
        <f>+D28/Stammdaten!$B$7/12</f>
        <v>#DIV/0!</v>
      </c>
      <c r="F28" s="382" t="e">
        <f t="shared" si="1"/>
        <v>#DIV/0!</v>
      </c>
    </row>
    <row r="29" spans="1:9" ht="28.8" x14ac:dyDescent="0.3">
      <c r="A29" s="372" t="s">
        <v>51</v>
      </c>
      <c r="B29" s="370"/>
      <c r="C29" s="371"/>
      <c r="D29" s="383" t="e">
        <f t="shared" si="0"/>
        <v>#DIV/0!</v>
      </c>
      <c r="E29" s="381" t="e">
        <f>+D29/Stammdaten!$B$7/12</f>
        <v>#DIV/0!</v>
      </c>
      <c r="F29" s="382" t="e">
        <f t="shared" si="1"/>
        <v>#DIV/0!</v>
      </c>
    </row>
    <row r="30" spans="1:9" x14ac:dyDescent="0.3">
      <c r="A30" s="1034" t="s">
        <v>156</v>
      </c>
      <c r="B30" s="1035"/>
      <c r="C30" s="371"/>
      <c r="D30" s="383" t="e">
        <f t="shared" si="0"/>
        <v>#DIV/0!</v>
      </c>
      <c r="E30" s="381" t="e">
        <f>+D30/Stammdaten!$B$7/12</f>
        <v>#DIV/0!</v>
      </c>
      <c r="F30" s="382" t="e">
        <f t="shared" si="1"/>
        <v>#DIV/0!</v>
      </c>
    </row>
    <row r="31" spans="1:9" x14ac:dyDescent="0.3">
      <c r="A31" s="373" t="s">
        <v>50</v>
      </c>
      <c r="B31" s="370"/>
      <c r="C31" s="371"/>
      <c r="D31" s="384" t="e">
        <f t="shared" si="0"/>
        <v>#DIV/0!</v>
      </c>
      <c r="E31" s="381" t="e">
        <f>+D31/Stammdaten!$B$7/12</f>
        <v>#DIV/0!</v>
      </c>
      <c r="F31" s="382" t="e">
        <f t="shared" si="1"/>
        <v>#DIV/0!</v>
      </c>
    </row>
    <row r="32" spans="1:9" x14ac:dyDescent="0.3">
      <c r="A32" s="576" t="s">
        <v>167</v>
      </c>
      <c r="B32" s="577"/>
      <c r="C32" s="578"/>
      <c r="D32" s="384" t="e">
        <f t="shared" ref="D32" si="2">+C32*$D$13</f>
        <v>#DIV/0!</v>
      </c>
      <c r="E32" s="381" t="e">
        <f>+D32/Stammdaten!$B$7/12</f>
        <v>#DIV/0!</v>
      </c>
      <c r="F32" s="382" t="e">
        <f t="shared" ref="F32" si="3">+C32*$F$13</f>
        <v>#DIV/0!</v>
      </c>
    </row>
    <row r="33" spans="1:9" ht="15" thickBot="1" x14ac:dyDescent="0.35">
      <c r="A33" s="374"/>
      <c r="B33" s="375"/>
      <c r="C33" s="376"/>
      <c r="D33" s="385" t="e">
        <f>+C33*$D$13</f>
        <v>#DIV/0!</v>
      </c>
      <c r="E33" s="386" t="e">
        <f>+D33/Stammdaten!$B$7/12</f>
        <v>#DIV/0!</v>
      </c>
      <c r="F33" s="387" t="e">
        <f t="shared" ref="F33" si="4">+C33*$F$13</f>
        <v>#DIV/0!</v>
      </c>
    </row>
    <row r="34" spans="1:9" x14ac:dyDescent="0.3">
      <c r="A34" s="939" t="s">
        <v>10</v>
      </c>
      <c r="B34" s="940"/>
      <c r="C34" s="390">
        <f>+SUM(C14:C33)</f>
        <v>0</v>
      </c>
      <c r="D34" s="390" t="e">
        <f>+SUM(D14:D33)</f>
        <v>#DIV/0!</v>
      </c>
      <c r="E34" s="390"/>
      <c r="F34" s="390" t="e">
        <f>+SUM(F14:F33)</f>
        <v>#DIV/0!</v>
      </c>
      <c r="G34" s="377"/>
      <c r="H34" s="379"/>
      <c r="I34" s="379"/>
    </row>
    <row r="35" spans="1:9" x14ac:dyDescent="0.3">
      <c r="A35" s="705" t="s">
        <v>18</v>
      </c>
      <c r="B35" s="711"/>
      <c r="C35" s="391">
        <f>+'B_1 Geb. Kaltmiete'!B104</f>
        <v>0.96499999999999997</v>
      </c>
      <c r="D35" s="941"/>
      <c r="E35" s="942"/>
      <c r="F35" s="942"/>
      <c r="G35" s="378"/>
      <c r="H35" s="379"/>
      <c r="I35" s="379"/>
    </row>
    <row r="36" spans="1:9" x14ac:dyDescent="0.3">
      <c r="A36" s="685"/>
      <c r="B36" s="686" t="s">
        <v>228</v>
      </c>
      <c r="C36" s="269" t="e">
        <f>+C34/C35/Stammdaten!B7</f>
        <v>#DIV/0!</v>
      </c>
      <c r="D36" s="269" t="e">
        <f>+D34/C35/Stammdaten!B7</f>
        <v>#DIV/0!</v>
      </c>
      <c r="E36" s="269"/>
      <c r="F36" s="269" t="e">
        <f>+F34/C35/Stammdaten!B7</f>
        <v>#DIV/0!</v>
      </c>
      <c r="G36" s="377"/>
      <c r="H36" s="528"/>
      <c r="I36" s="360"/>
    </row>
    <row r="37" spans="1:9" ht="18" x14ac:dyDescent="0.35">
      <c r="A37" s="687"/>
      <c r="B37" s="688" t="s">
        <v>229</v>
      </c>
      <c r="C37" s="304" t="e">
        <f>+C36/12</f>
        <v>#DIV/0!</v>
      </c>
      <c r="D37" s="304" t="e">
        <f>+D36/12</f>
        <v>#DIV/0!</v>
      </c>
      <c r="E37" s="304"/>
      <c r="F37" s="304" t="e">
        <f>+F36/12</f>
        <v>#DIV/0!</v>
      </c>
      <c r="G37" s="377"/>
      <c r="H37" s="528"/>
      <c r="I37" s="360"/>
    </row>
    <row r="38" spans="1:9" ht="13.8" x14ac:dyDescent="0.3">
      <c r="H38" s="392" t="s">
        <v>6</v>
      </c>
      <c r="I38" s="167" t="e">
        <f>(C37*Stammdaten!B7*12)*C35-C34</f>
        <v>#DIV/0!</v>
      </c>
    </row>
    <row r="39" spans="1:9" ht="15" thickBot="1" x14ac:dyDescent="0.35"/>
    <row r="40" spans="1:9" ht="45" customHeight="1" thickBot="1" x14ac:dyDescent="0.35">
      <c r="A40" s="1020" t="s">
        <v>317</v>
      </c>
      <c r="B40" s="979"/>
      <c r="C40" s="979"/>
      <c r="D40" s="979"/>
      <c r="E40" s="979"/>
      <c r="F40" s="1015"/>
    </row>
  </sheetData>
  <sheetProtection password="A41D" sheet="1" objects="1" scenarios="1"/>
  <dataConsolidate/>
  <mergeCells count="7">
    <mergeCell ref="A40:F40"/>
    <mergeCell ref="A30:B30"/>
    <mergeCell ref="A5:F5"/>
    <mergeCell ref="D6:D7"/>
    <mergeCell ref="D8:D9"/>
    <mergeCell ref="A6:C6"/>
    <mergeCell ref="A8:C8"/>
  </mergeCells>
  <conditionalFormatting sqref="I38">
    <cfRule type="expression" dxfId="50" priority="10">
      <formula>OR(I38&lt;-0.0009,I38&gt;0.0009)</formula>
    </cfRule>
  </conditionalFormatting>
  <conditionalFormatting sqref="D6:D7">
    <cfRule type="expression" dxfId="49" priority="8">
      <formula>AND($D$6="x",$D$8="x")</formula>
    </cfRule>
    <cfRule type="expression" dxfId="48" priority="9">
      <formula>$D$8="x"</formula>
    </cfRule>
  </conditionalFormatting>
  <conditionalFormatting sqref="D8:D9">
    <cfRule type="expression" dxfId="47" priority="6">
      <formula>AND($D$6="x",$D$8="x")</formula>
    </cfRule>
    <cfRule type="expression" dxfId="46" priority="7">
      <formula>$D$6="x"</formula>
    </cfRule>
  </conditionalFormatting>
  <pageMargins left="0.78740157499999996" right="0.78740157499999996" top="0.984251969" bottom="0.984251969" header="0.4921259845" footer="0.4921259845"/>
  <pageSetup paperSize="9" scale="75" fitToWidth="0" fitToHeight="0"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6"/>
  <sheetViews>
    <sheetView zoomScaleNormal="100" workbookViewId="0">
      <selection activeCell="H4" sqref="H4"/>
    </sheetView>
  </sheetViews>
  <sheetFormatPr baseColWidth="10" defaultRowHeight="14.4" x14ac:dyDescent="0.3"/>
  <cols>
    <col min="1" max="1" width="35.6640625" style="360" customWidth="1"/>
    <col min="2" max="2" width="12.5546875" style="360" customWidth="1"/>
    <col min="3" max="3" width="13.88671875" style="360" customWidth="1"/>
    <col min="4" max="5" width="15.6640625" style="360" customWidth="1"/>
    <col min="6" max="6" width="5.6640625" style="64" customWidth="1"/>
    <col min="7" max="7" width="8.5546875" style="360" customWidth="1"/>
    <col min="8" max="8" width="8.33203125" style="360" customWidth="1"/>
    <col min="9" max="249" width="11.44140625" style="360"/>
    <col min="250" max="250" width="35.6640625" style="360" customWidth="1"/>
    <col min="251" max="251" width="15.6640625" style="360" customWidth="1"/>
    <col min="252" max="254" width="0" style="360" hidden="1" customWidth="1"/>
    <col min="255" max="255" width="3.33203125" style="360" customWidth="1"/>
    <col min="256" max="258" width="15.6640625" style="360" customWidth="1"/>
    <col min="259" max="259" width="11.44140625" style="360"/>
    <col min="260" max="260" width="12.88671875" style="360" customWidth="1"/>
    <col min="261" max="261" width="11.44140625" style="360" customWidth="1"/>
    <col min="262" max="505" width="11.44140625" style="360"/>
    <col min="506" max="506" width="35.6640625" style="360" customWidth="1"/>
    <col min="507" max="507" width="15.6640625" style="360" customWidth="1"/>
    <col min="508" max="510" width="0" style="360" hidden="1" customWidth="1"/>
    <col min="511" max="511" width="3.33203125" style="360" customWidth="1"/>
    <col min="512" max="514" width="15.6640625" style="360" customWidth="1"/>
    <col min="515" max="515" width="11.44140625" style="360"/>
    <col min="516" max="516" width="12.88671875" style="360" customWidth="1"/>
    <col min="517" max="517" width="11.44140625" style="360" customWidth="1"/>
    <col min="518" max="761" width="11.44140625" style="360"/>
    <col min="762" max="762" width="35.6640625" style="360" customWidth="1"/>
    <col min="763" max="763" width="15.6640625" style="360" customWidth="1"/>
    <col min="764" max="766" width="0" style="360" hidden="1" customWidth="1"/>
    <col min="767" max="767" width="3.33203125" style="360" customWidth="1"/>
    <col min="768" max="770" width="15.6640625" style="360" customWidth="1"/>
    <col min="771" max="771" width="11.44140625" style="360"/>
    <col min="772" max="772" width="12.88671875" style="360" customWidth="1"/>
    <col min="773" max="773" width="11.44140625" style="360" customWidth="1"/>
    <col min="774" max="1017" width="11.44140625" style="360"/>
    <col min="1018" max="1018" width="35.6640625" style="360" customWidth="1"/>
    <col min="1019" max="1019" width="15.6640625" style="360" customWidth="1"/>
    <col min="1020" max="1022" width="0" style="360" hidden="1" customWidth="1"/>
    <col min="1023" max="1023" width="3.33203125" style="360" customWidth="1"/>
    <col min="1024" max="1026" width="15.6640625" style="360" customWidth="1"/>
    <col min="1027" max="1027" width="11.44140625" style="360"/>
    <col min="1028" max="1028" width="12.88671875" style="360" customWidth="1"/>
    <col min="1029" max="1029" width="11.44140625" style="360" customWidth="1"/>
    <col min="1030" max="1273" width="11.44140625" style="360"/>
    <col min="1274" max="1274" width="35.6640625" style="360" customWidth="1"/>
    <col min="1275" max="1275" width="15.6640625" style="360" customWidth="1"/>
    <col min="1276" max="1278" width="0" style="360" hidden="1" customWidth="1"/>
    <col min="1279" max="1279" width="3.33203125" style="360" customWidth="1"/>
    <col min="1280" max="1282" width="15.6640625" style="360" customWidth="1"/>
    <col min="1283" max="1283" width="11.44140625" style="360"/>
    <col min="1284" max="1284" width="12.88671875" style="360" customWidth="1"/>
    <col min="1285" max="1285" width="11.44140625" style="360" customWidth="1"/>
    <col min="1286" max="1529" width="11.44140625" style="360"/>
    <col min="1530" max="1530" width="35.6640625" style="360" customWidth="1"/>
    <col min="1531" max="1531" width="15.6640625" style="360" customWidth="1"/>
    <col min="1532" max="1534" width="0" style="360" hidden="1" customWidth="1"/>
    <col min="1535" max="1535" width="3.33203125" style="360" customWidth="1"/>
    <col min="1536" max="1538" width="15.6640625" style="360" customWidth="1"/>
    <col min="1539" max="1539" width="11.44140625" style="360"/>
    <col min="1540" max="1540" width="12.88671875" style="360" customWidth="1"/>
    <col min="1541" max="1541" width="11.44140625" style="360" customWidth="1"/>
    <col min="1542" max="1785" width="11.44140625" style="360"/>
    <col min="1786" max="1786" width="35.6640625" style="360" customWidth="1"/>
    <col min="1787" max="1787" width="15.6640625" style="360" customWidth="1"/>
    <col min="1788" max="1790" width="0" style="360" hidden="1" customWidth="1"/>
    <col min="1791" max="1791" width="3.33203125" style="360" customWidth="1"/>
    <col min="1792" max="1794" width="15.6640625" style="360" customWidth="1"/>
    <col min="1795" max="1795" width="11.44140625" style="360"/>
    <col min="1796" max="1796" width="12.88671875" style="360" customWidth="1"/>
    <col min="1797" max="1797" width="11.44140625" style="360" customWidth="1"/>
    <col min="1798" max="2041" width="11.44140625" style="360"/>
    <col min="2042" max="2042" width="35.6640625" style="360" customWidth="1"/>
    <col min="2043" max="2043" width="15.6640625" style="360" customWidth="1"/>
    <col min="2044" max="2046" width="0" style="360" hidden="1" customWidth="1"/>
    <col min="2047" max="2047" width="3.33203125" style="360" customWidth="1"/>
    <col min="2048" max="2050" width="15.6640625" style="360" customWidth="1"/>
    <col min="2051" max="2051" width="11.44140625" style="360"/>
    <col min="2052" max="2052" width="12.88671875" style="360" customWidth="1"/>
    <col min="2053" max="2053" width="11.44140625" style="360" customWidth="1"/>
    <col min="2054" max="2297" width="11.44140625" style="360"/>
    <col min="2298" max="2298" width="35.6640625" style="360" customWidth="1"/>
    <col min="2299" max="2299" width="15.6640625" style="360" customWidth="1"/>
    <col min="2300" max="2302" width="0" style="360" hidden="1" customWidth="1"/>
    <col min="2303" max="2303" width="3.33203125" style="360" customWidth="1"/>
    <col min="2304" max="2306" width="15.6640625" style="360" customWidth="1"/>
    <col min="2307" max="2307" width="11.44140625" style="360"/>
    <col min="2308" max="2308" width="12.88671875" style="360" customWidth="1"/>
    <col min="2309" max="2309" width="11.44140625" style="360" customWidth="1"/>
    <col min="2310" max="2553" width="11.44140625" style="360"/>
    <col min="2554" max="2554" width="35.6640625" style="360" customWidth="1"/>
    <col min="2555" max="2555" width="15.6640625" style="360" customWidth="1"/>
    <col min="2556" max="2558" width="0" style="360" hidden="1" customWidth="1"/>
    <col min="2559" max="2559" width="3.33203125" style="360" customWidth="1"/>
    <col min="2560" max="2562" width="15.6640625" style="360" customWidth="1"/>
    <col min="2563" max="2563" width="11.44140625" style="360"/>
    <col min="2564" max="2564" width="12.88671875" style="360" customWidth="1"/>
    <col min="2565" max="2565" width="11.44140625" style="360" customWidth="1"/>
    <col min="2566" max="2809" width="11.44140625" style="360"/>
    <col min="2810" max="2810" width="35.6640625" style="360" customWidth="1"/>
    <col min="2811" max="2811" width="15.6640625" style="360" customWidth="1"/>
    <col min="2812" max="2814" width="0" style="360" hidden="1" customWidth="1"/>
    <col min="2815" max="2815" width="3.33203125" style="360" customWidth="1"/>
    <col min="2816" max="2818" width="15.6640625" style="360" customWidth="1"/>
    <col min="2819" max="2819" width="11.44140625" style="360"/>
    <col min="2820" max="2820" width="12.88671875" style="360" customWidth="1"/>
    <col min="2821" max="2821" width="11.44140625" style="360" customWidth="1"/>
    <col min="2822" max="3065" width="11.44140625" style="360"/>
    <col min="3066" max="3066" width="35.6640625" style="360" customWidth="1"/>
    <col min="3067" max="3067" width="15.6640625" style="360" customWidth="1"/>
    <col min="3068" max="3070" width="0" style="360" hidden="1" customWidth="1"/>
    <col min="3071" max="3071" width="3.33203125" style="360" customWidth="1"/>
    <col min="3072" max="3074" width="15.6640625" style="360" customWidth="1"/>
    <col min="3075" max="3075" width="11.44140625" style="360"/>
    <col min="3076" max="3076" width="12.88671875" style="360" customWidth="1"/>
    <col min="3077" max="3077" width="11.44140625" style="360" customWidth="1"/>
    <col min="3078" max="3321" width="11.44140625" style="360"/>
    <col min="3322" max="3322" width="35.6640625" style="360" customWidth="1"/>
    <col min="3323" max="3323" width="15.6640625" style="360" customWidth="1"/>
    <col min="3324" max="3326" width="0" style="360" hidden="1" customWidth="1"/>
    <col min="3327" max="3327" width="3.33203125" style="360" customWidth="1"/>
    <col min="3328" max="3330" width="15.6640625" style="360" customWidth="1"/>
    <col min="3331" max="3331" width="11.44140625" style="360"/>
    <col min="3332" max="3332" width="12.88671875" style="360" customWidth="1"/>
    <col min="3333" max="3333" width="11.44140625" style="360" customWidth="1"/>
    <col min="3334" max="3577" width="11.44140625" style="360"/>
    <col min="3578" max="3578" width="35.6640625" style="360" customWidth="1"/>
    <col min="3579" max="3579" width="15.6640625" style="360" customWidth="1"/>
    <col min="3580" max="3582" width="0" style="360" hidden="1" customWidth="1"/>
    <col min="3583" max="3583" width="3.33203125" style="360" customWidth="1"/>
    <col min="3584" max="3586" width="15.6640625" style="360" customWidth="1"/>
    <col min="3587" max="3587" width="11.44140625" style="360"/>
    <col min="3588" max="3588" width="12.88671875" style="360" customWidth="1"/>
    <col min="3589" max="3589" width="11.44140625" style="360" customWidth="1"/>
    <col min="3590" max="3833" width="11.44140625" style="360"/>
    <col min="3834" max="3834" width="35.6640625" style="360" customWidth="1"/>
    <col min="3835" max="3835" width="15.6640625" style="360" customWidth="1"/>
    <col min="3836" max="3838" width="0" style="360" hidden="1" customWidth="1"/>
    <col min="3839" max="3839" width="3.33203125" style="360" customWidth="1"/>
    <col min="3840" max="3842" width="15.6640625" style="360" customWidth="1"/>
    <col min="3843" max="3843" width="11.44140625" style="360"/>
    <col min="3844" max="3844" width="12.88671875" style="360" customWidth="1"/>
    <col min="3845" max="3845" width="11.44140625" style="360" customWidth="1"/>
    <col min="3846" max="4089" width="11.44140625" style="360"/>
    <col min="4090" max="4090" width="35.6640625" style="360" customWidth="1"/>
    <col min="4091" max="4091" width="15.6640625" style="360" customWidth="1"/>
    <col min="4092" max="4094" width="0" style="360" hidden="1" customWidth="1"/>
    <col min="4095" max="4095" width="3.33203125" style="360" customWidth="1"/>
    <col min="4096" max="4098" width="15.6640625" style="360" customWidth="1"/>
    <col min="4099" max="4099" width="11.44140625" style="360"/>
    <col min="4100" max="4100" width="12.88671875" style="360" customWidth="1"/>
    <col min="4101" max="4101" width="11.44140625" style="360" customWidth="1"/>
    <col min="4102" max="4345" width="11.44140625" style="360"/>
    <col min="4346" max="4346" width="35.6640625" style="360" customWidth="1"/>
    <col min="4347" max="4347" width="15.6640625" style="360" customWidth="1"/>
    <col min="4348" max="4350" width="0" style="360" hidden="1" customWidth="1"/>
    <col min="4351" max="4351" width="3.33203125" style="360" customWidth="1"/>
    <col min="4352" max="4354" width="15.6640625" style="360" customWidth="1"/>
    <col min="4355" max="4355" width="11.44140625" style="360"/>
    <col min="4356" max="4356" width="12.88671875" style="360" customWidth="1"/>
    <col min="4357" max="4357" width="11.44140625" style="360" customWidth="1"/>
    <col min="4358" max="4601" width="11.44140625" style="360"/>
    <col min="4602" max="4602" width="35.6640625" style="360" customWidth="1"/>
    <col min="4603" max="4603" width="15.6640625" style="360" customWidth="1"/>
    <col min="4604" max="4606" width="0" style="360" hidden="1" customWidth="1"/>
    <col min="4607" max="4607" width="3.33203125" style="360" customWidth="1"/>
    <col min="4608" max="4610" width="15.6640625" style="360" customWidth="1"/>
    <col min="4611" max="4611" width="11.44140625" style="360"/>
    <col min="4612" max="4612" width="12.88671875" style="360" customWidth="1"/>
    <col min="4613" max="4613" width="11.44140625" style="360" customWidth="1"/>
    <col min="4614" max="4857" width="11.44140625" style="360"/>
    <col min="4858" max="4858" width="35.6640625" style="360" customWidth="1"/>
    <col min="4859" max="4859" width="15.6640625" style="360" customWidth="1"/>
    <col min="4860" max="4862" width="0" style="360" hidden="1" customWidth="1"/>
    <col min="4863" max="4863" width="3.33203125" style="360" customWidth="1"/>
    <col min="4864" max="4866" width="15.6640625" style="360" customWidth="1"/>
    <col min="4867" max="4867" width="11.44140625" style="360"/>
    <col min="4868" max="4868" width="12.88671875" style="360" customWidth="1"/>
    <col min="4869" max="4869" width="11.44140625" style="360" customWidth="1"/>
    <col min="4870" max="5113" width="11.44140625" style="360"/>
    <col min="5114" max="5114" width="35.6640625" style="360" customWidth="1"/>
    <col min="5115" max="5115" width="15.6640625" style="360" customWidth="1"/>
    <col min="5116" max="5118" width="0" style="360" hidden="1" customWidth="1"/>
    <col min="5119" max="5119" width="3.33203125" style="360" customWidth="1"/>
    <col min="5120" max="5122" width="15.6640625" style="360" customWidth="1"/>
    <col min="5123" max="5123" width="11.44140625" style="360"/>
    <col min="5124" max="5124" width="12.88671875" style="360" customWidth="1"/>
    <col min="5125" max="5125" width="11.44140625" style="360" customWidth="1"/>
    <col min="5126" max="5369" width="11.44140625" style="360"/>
    <col min="5370" max="5370" width="35.6640625" style="360" customWidth="1"/>
    <col min="5371" max="5371" width="15.6640625" style="360" customWidth="1"/>
    <col min="5372" max="5374" width="0" style="360" hidden="1" customWidth="1"/>
    <col min="5375" max="5375" width="3.33203125" style="360" customWidth="1"/>
    <col min="5376" max="5378" width="15.6640625" style="360" customWidth="1"/>
    <col min="5379" max="5379" width="11.44140625" style="360"/>
    <col min="5380" max="5380" width="12.88671875" style="360" customWidth="1"/>
    <col min="5381" max="5381" width="11.44140625" style="360" customWidth="1"/>
    <col min="5382" max="5625" width="11.44140625" style="360"/>
    <col min="5626" max="5626" width="35.6640625" style="360" customWidth="1"/>
    <col min="5627" max="5627" width="15.6640625" style="360" customWidth="1"/>
    <col min="5628" max="5630" width="0" style="360" hidden="1" customWidth="1"/>
    <col min="5631" max="5631" width="3.33203125" style="360" customWidth="1"/>
    <col min="5632" max="5634" width="15.6640625" style="360" customWidth="1"/>
    <col min="5635" max="5635" width="11.44140625" style="360"/>
    <col min="5636" max="5636" width="12.88671875" style="360" customWidth="1"/>
    <col min="5637" max="5637" width="11.44140625" style="360" customWidth="1"/>
    <col min="5638" max="5881" width="11.44140625" style="360"/>
    <col min="5882" max="5882" width="35.6640625" style="360" customWidth="1"/>
    <col min="5883" max="5883" width="15.6640625" style="360" customWidth="1"/>
    <col min="5884" max="5886" width="0" style="360" hidden="1" customWidth="1"/>
    <col min="5887" max="5887" width="3.33203125" style="360" customWidth="1"/>
    <col min="5888" max="5890" width="15.6640625" style="360" customWidth="1"/>
    <col min="5891" max="5891" width="11.44140625" style="360"/>
    <col min="5892" max="5892" width="12.88671875" style="360" customWidth="1"/>
    <col min="5893" max="5893" width="11.44140625" style="360" customWidth="1"/>
    <col min="5894" max="6137" width="11.44140625" style="360"/>
    <col min="6138" max="6138" width="35.6640625" style="360" customWidth="1"/>
    <col min="6139" max="6139" width="15.6640625" style="360" customWidth="1"/>
    <col min="6140" max="6142" width="0" style="360" hidden="1" customWidth="1"/>
    <col min="6143" max="6143" width="3.33203125" style="360" customWidth="1"/>
    <col min="6144" max="6146" width="15.6640625" style="360" customWidth="1"/>
    <col min="6147" max="6147" width="11.44140625" style="360"/>
    <col min="6148" max="6148" width="12.88671875" style="360" customWidth="1"/>
    <col min="6149" max="6149" width="11.44140625" style="360" customWidth="1"/>
    <col min="6150" max="6393" width="11.44140625" style="360"/>
    <col min="6394" max="6394" width="35.6640625" style="360" customWidth="1"/>
    <col min="6395" max="6395" width="15.6640625" style="360" customWidth="1"/>
    <col min="6396" max="6398" width="0" style="360" hidden="1" customWidth="1"/>
    <col min="6399" max="6399" width="3.33203125" style="360" customWidth="1"/>
    <col min="6400" max="6402" width="15.6640625" style="360" customWidth="1"/>
    <col min="6403" max="6403" width="11.44140625" style="360"/>
    <col min="6404" max="6404" width="12.88671875" style="360" customWidth="1"/>
    <col min="6405" max="6405" width="11.44140625" style="360" customWidth="1"/>
    <col min="6406" max="6649" width="11.44140625" style="360"/>
    <col min="6650" max="6650" width="35.6640625" style="360" customWidth="1"/>
    <col min="6651" max="6651" width="15.6640625" style="360" customWidth="1"/>
    <col min="6652" max="6654" width="0" style="360" hidden="1" customWidth="1"/>
    <col min="6655" max="6655" width="3.33203125" style="360" customWidth="1"/>
    <col min="6656" max="6658" width="15.6640625" style="360" customWidth="1"/>
    <col min="6659" max="6659" width="11.44140625" style="360"/>
    <col min="6660" max="6660" width="12.88671875" style="360" customWidth="1"/>
    <col min="6661" max="6661" width="11.44140625" style="360" customWidth="1"/>
    <col min="6662" max="6905" width="11.44140625" style="360"/>
    <col min="6906" max="6906" width="35.6640625" style="360" customWidth="1"/>
    <col min="6907" max="6907" width="15.6640625" style="360" customWidth="1"/>
    <col min="6908" max="6910" width="0" style="360" hidden="1" customWidth="1"/>
    <col min="6911" max="6911" width="3.33203125" style="360" customWidth="1"/>
    <col min="6912" max="6914" width="15.6640625" style="360" customWidth="1"/>
    <col min="6915" max="6915" width="11.44140625" style="360"/>
    <col min="6916" max="6916" width="12.88671875" style="360" customWidth="1"/>
    <col min="6917" max="6917" width="11.44140625" style="360" customWidth="1"/>
    <col min="6918" max="7161" width="11.44140625" style="360"/>
    <col min="7162" max="7162" width="35.6640625" style="360" customWidth="1"/>
    <col min="7163" max="7163" width="15.6640625" style="360" customWidth="1"/>
    <col min="7164" max="7166" width="0" style="360" hidden="1" customWidth="1"/>
    <col min="7167" max="7167" width="3.33203125" style="360" customWidth="1"/>
    <col min="7168" max="7170" width="15.6640625" style="360" customWidth="1"/>
    <col min="7171" max="7171" width="11.44140625" style="360"/>
    <col min="7172" max="7172" width="12.88671875" style="360" customWidth="1"/>
    <col min="7173" max="7173" width="11.44140625" style="360" customWidth="1"/>
    <col min="7174" max="7417" width="11.44140625" style="360"/>
    <col min="7418" max="7418" width="35.6640625" style="360" customWidth="1"/>
    <col min="7419" max="7419" width="15.6640625" style="360" customWidth="1"/>
    <col min="7420" max="7422" width="0" style="360" hidden="1" customWidth="1"/>
    <col min="7423" max="7423" width="3.33203125" style="360" customWidth="1"/>
    <col min="7424" max="7426" width="15.6640625" style="360" customWidth="1"/>
    <col min="7427" max="7427" width="11.44140625" style="360"/>
    <col min="7428" max="7428" width="12.88671875" style="360" customWidth="1"/>
    <col min="7429" max="7429" width="11.44140625" style="360" customWidth="1"/>
    <col min="7430" max="7673" width="11.44140625" style="360"/>
    <col min="7674" max="7674" width="35.6640625" style="360" customWidth="1"/>
    <col min="7675" max="7675" width="15.6640625" style="360" customWidth="1"/>
    <col min="7676" max="7678" width="0" style="360" hidden="1" customWidth="1"/>
    <col min="7679" max="7679" width="3.33203125" style="360" customWidth="1"/>
    <col min="7680" max="7682" width="15.6640625" style="360" customWidth="1"/>
    <col min="7683" max="7683" width="11.44140625" style="360"/>
    <col min="7684" max="7684" width="12.88671875" style="360" customWidth="1"/>
    <col min="7685" max="7685" width="11.44140625" style="360" customWidth="1"/>
    <col min="7686" max="7929" width="11.44140625" style="360"/>
    <col min="7930" max="7930" width="35.6640625" style="360" customWidth="1"/>
    <col min="7931" max="7931" width="15.6640625" style="360" customWidth="1"/>
    <col min="7932" max="7934" width="0" style="360" hidden="1" customWidth="1"/>
    <col min="7935" max="7935" width="3.33203125" style="360" customWidth="1"/>
    <col min="7936" max="7938" width="15.6640625" style="360" customWidth="1"/>
    <col min="7939" max="7939" width="11.44140625" style="360"/>
    <col min="7940" max="7940" width="12.88671875" style="360" customWidth="1"/>
    <col min="7941" max="7941" width="11.44140625" style="360" customWidth="1"/>
    <col min="7942" max="8185" width="11.44140625" style="360"/>
    <col min="8186" max="8186" width="35.6640625" style="360" customWidth="1"/>
    <col min="8187" max="8187" width="15.6640625" style="360" customWidth="1"/>
    <col min="8188" max="8190" width="0" style="360" hidden="1" customWidth="1"/>
    <col min="8191" max="8191" width="3.33203125" style="360" customWidth="1"/>
    <col min="8192" max="8194" width="15.6640625" style="360" customWidth="1"/>
    <col min="8195" max="8195" width="11.44140625" style="360"/>
    <col min="8196" max="8196" width="12.88671875" style="360" customWidth="1"/>
    <col min="8197" max="8197" width="11.44140625" style="360" customWidth="1"/>
    <col min="8198" max="8441" width="11.44140625" style="360"/>
    <col min="8442" max="8442" width="35.6640625" style="360" customWidth="1"/>
    <col min="8443" max="8443" width="15.6640625" style="360" customWidth="1"/>
    <col min="8444" max="8446" width="0" style="360" hidden="1" customWidth="1"/>
    <col min="8447" max="8447" width="3.33203125" style="360" customWidth="1"/>
    <col min="8448" max="8450" width="15.6640625" style="360" customWidth="1"/>
    <col min="8451" max="8451" width="11.44140625" style="360"/>
    <col min="8452" max="8452" width="12.88671875" style="360" customWidth="1"/>
    <col min="8453" max="8453" width="11.44140625" style="360" customWidth="1"/>
    <col min="8454" max="8697" width="11.44140625" style="360"/>
    <col min="8698" max="8698" width="35.6640625" style="360" customWidth="1"/>
    <col min="8699" max="8699" width="15.6640625" style="360" customWidth="1"/>
    <col min="8700" max="8702" width="0" style="360" hidden="1" customWidth="1"/>
    <col min="8703" max="8703" width="3.33203125" style="360" customWidth="1"/>
    <col min="8704" max="8706" width="15.6640625" style="360" customWidth="1"/>
    <col min="8707" max="8707" width="11.44140625" style="360"/>
    <col min="8708" max="8708" width="12.88671875" style="360" customWidth="1"/>
    <col min="8709" max="8709" width="11.44140625" style="360" customWidth="1"/>
    <col min="8710" max="8953" width="11.44140625" style="360"/>
    <col min="8954" max="8954" width="35.6640625" style="360" customWidth="1"/>
    <col min="8955" max="8955" width="15.6640625" style="360" customWidth="1"/>
    <col min="8956" max="8958" width="0" style="360" hidden="1" customWidth="1"/>
    <col min="8959" max="8959" width="3.33203125" style="360" customWidth="1"/>
    <col min="8960" max="8962" width="15.6640625" style="360" customWidth="1"/>
    <col min="8963" max="8963" width="11.44140625" style="360"/>
    <col min="8964" max="8964" width="12.88671875" style="360" customWidth="1"/>
    <col min="8965" max="8965" width="11.44140625" style="360" customWidth="1"/>
    <col min="8966" max="9209" width="11.44140625" style="360"/>
    <col min="9210" max="9210" width="35.6640625" style="360" customWidth="1"/>
    <col min="9211" max="9211" width="15.6640625" style="360" customWidth="1"/>
    <col min="9212" max="9214" width="0" style="360" hidden="1" customWidth="1"/>
    <col min="9215" max="9215" width="3.33203125" style="360" customWidth="1"/>
    <col min="9216" max="9218" width="15.6640625" style="360" customWidth="1"/>
    <col min="9219" max="9219" width="11.44140625" style="360"/>
    <col min="9220" max="9220" width="12.88671875" style="360" customWidth="1"/>
    <col min="9221" max="9221" width="11.44140625" style="360" customWidth="1"/>
    <col min="9222" max="9465" width="11.44140625" style="360"/>
    <col min="9466" max="9466" width="35.6640625" style="360" customWidth="1"/>
    <col min="9467" max="9467" width="15.6640625" style="360" customWidth="1"/>
    <col min="9468" max="9470" width="0" style="360" hidden="1" customWidth="1"/>
    <col min="9471" max="9471" width="3.33203125" style="360" customWidth="1"/>
    <col min="9472" max="9474" width="15.6640625" style="360" customWidth="1"/>
    <col min="9475" max="9475" width="11.44140625" style="360"/>
    <col min="9476" max="9476" width="12.88671875" style="360" customWidth="1"/>
    <col min="9477" max="9477" width="11.44140625" style="360" customWidth="1"/>
    <col min="9478" max="9721" width="11.44140625" style="360"/>
    <col min="9722" max="9722" width="35.6640625" style="360" customWidth="1"/>
    <col min="9723" max="9723" width="15.6640625" style="360" customWidth="1"/>
    <col min="9724" max="9726" width="0" style="360" hidden="1" customWidth="1"/>
    <col min="9727" max="9727" width="3.33203125" style="360" customWidth="1"/>
    <col min="9728" max="9730" width="15.6640625" style="360" customWidth="1"/>
    <col min="9731" max="9731" width="11.44140625" style="360"/>
    <col min="9732" max="9732" width="12.88671875" style="360" customWidth="1"/>
    <col min="9733" max="9733" width="11.44140625" style="360" customWidth="1"/>
    <col min="9734" max="9977" width="11.44140625" style="360"/>
    <col min="9978" max="9978" width="35.6640625" style="360" customWidth="1"/>
    <col min="9979" max="9979" width="15.6640625" style="360" customWidth="1"/>
    <col min="9980" max="9982" width="0" style="360" hidden="1" customWidth="1"/>
    <col min="9983" max="9983" width="3.33203125" style="360" customWidth="1"/>
    <col min="9984" max="9986" width="15.6640625" style="360" customWidth="1"/>
    <col min="9987" max="9987" width="11.44140625" style="360"/>
    <col min="9988" max="9988" width="12.88671875" style="360" customWidth="1"/>
    <col min="9989" max="9989" width="11.44140625" style="360" customWidth="1"/>
    <col min="9990" max="10233" width="11.44140625" style="360"/>
    <col min="10234" max="10234" width="35.6640625" style="360" customWidth="1"/>
    <col min="10235" max="10235" width="15.6640625" style="360" customWidth="1"/>
    <col min="10236" max="10238" width="0" style="360" hidden="1" customWidth="1"/>
    <col min="10239" max="10239" width="3.33203125" style="360" customWidth="1"/>
    <col min="10240" max="10242" width="15.6640625" style="360" customWidth="1"/>
    <col min="10243" max="10243" width="11.44140625" style="360"/>
    <col min="10244" max="10244" width="12.88671875" style="360" customWidth="1"/>
    <col min="10245" max="10245" width="11.44140625" style="360" customWidth="1"/>
    <col min="10246" max="10489" width="11.44140625" style="360"/>
    <col min="10490" max="10490" width="35.6640625" style="360" customWidth="1"/>
    <col min="10491" max="10491" width="15.6640625" style="360" customWidth="1"/>
    <col min="10492" max="10494" width="0" style="360" hidden="1" customWidth="1"/>
    <col min="10495" max="10495" width="3.33203125" style="360" customWidth="1"/>
    <col min="10496" max="10498" width="15.6640625" style="360" customWidth="1"/>
    <col min="10499" max="10499" width="11.44140625" style="360"/>
    <col min="10500" max="10500" width="12.88671875" style="360" customWidth="1"/>
    <col min="10501" max="10501" width="11.44140625" style="360" customWidth="1"/>
    <col min="10502" max="10745" width="11.44140625" style="360"/>
    <col min="10746" max="10746" width="35.6640625" style="360" customWidth="1"/>
    <col min="10747" max="10747" width="15.6640625" style="360" customWidth="1"/>
    <col min="10748" max="10750" width="0" style="360" hidden="1" customWidth="1"/>
    <col min="10751" max="10751" width="3.33203125" style="360" customWidth="1"/>
    <col min="10752" max="10754" width="15.6640625" style="360" customWidth="1"/>
    <col min="10755" max="10755" width="11.44140625" style="360"/>
    <col min="10756" max="10756" width="12.88671875" style="360" customWidth="1"/>
    <col min="10757" max="10757" width="11.44140625" style="360" customWidth="1"/>
    <col min="10758" max="11001" width="11.44140625" style="360"/>
    <col min="11002" max="11002" width="35.6640625" style="360" customWidth="1"/>
    <col min="11003" max="11003" width="15.6640625" style="360" customWidth="1"/>
    <col min="11004" max="11006" width="0" style="360" hidden="1" customWidth="1"/>
    <col min="11007" max="11007" width="3.33203125" style="360" customWidth="1"/>
    <col min="11008" max="11010" width="15.6640625" style="360" customWidth="1"/>
    <col min="11011" max="11011" width="11.44140625" style="360"/>
    <col min="11012" max="11012" width="12.88671875" style="360" customWidth="1"/>
    <col min="11013" max="11013" width="11.44140625" style="360" customWidth="1"/>
    <col min="11014" max="11257" width="11.44140625" style="360"/>
    <col min="11258" max="11258" width="35.6640625" style="360" customWidth="1"/>
    <col min="11259" max="11259" width="15.6640625" style="360" customWidth="1"/>
    <col min="11260" max="11262" width="0" style="360" hidden="1" customWidth="1"/>
    <col min="11263" max="11263" width="3.33203125" style="360" customWidth="1"/>
    <col min="11264" max="11266" width="15.6640625" style="360" customWidth="1"/>
    <col min="11267" max="11267" width="11.44140625" style="360"/>
    <col min="11268" max="11268" width="12.88671875" style="360" customWidth="1"/>
    <col min="11269" max="11269" width="11.44140625" style="360" customWidth="1"/>
    <col min="11270" max="11513" width="11.44140625" style="360"/>
    <col min="11514" max="11514" width="35.6640625" style="360" customWidth="1"/>
    <col min="11515" max="11515" width="15.6640625" style="360" customWidth="1"/>
    <col min="11516" max="11518" width="0" style="360" hidden="1" customWidth="1"/>
    <col min="11519" max="11519" width="3.33203125" style="360" customWidth="1"/>
    <col min="11520" max="11522" width="15.6640625" style="360" customWidth="1"/>
    <col min="11523" max="11523" width="11.44140625" style="360"/>
    <col min="11524" max="11524" width="12.88671875" style="360" customWidth="1"/>
    <col min="11525" max="11525" width="11.44140625" style="360" customWidth="1"/>
    <col min="11526" max="11769" width="11.44140625" style="360"/>
    <col min="11770" max="11770" width="35.6640625" style="360" customWidth="1"/>
    <col min="11771" max="11771" width="15.6640625" style="360" customWidth="1"/>
    <col min="11772" max="11774" width="0" style="360" hidden="1" customWidth="1"/>
    <col min="11775" max="11775" width="3.33203125" style="360" customWidth="1"/>
    <col min="11776" max="11778" width="15.6640625" style="360" customWidth="1"/>
    <col min="11779" max="11779" width="11.44140625" style="360"/>
    <col min="11780" max="11780" width="12.88671875" style="360" customWidth="1"/>
    <col min="11781" max="11781" width="11.44140625" style="360" customWidth="1"/>
    <col min="11782" max="12025" width="11.44140625" style="360"/>
    <col min="12026" max="12026" width="35.6640625" style="360" customWidth="1"/>
    <col min="12027" max="12027" width="15.6640625" style="360" customWidth="1"/>
    <col min="12028" max="12030" width="0" style="360" hidden="1" customWidth="1"/>
    <col min="12031" max="12031" width="3.33203125" style="360" customWidth="1"/>
    <col min="12032" max="12034" width="15.6640625" style="360" customWidth="1"/>
    <col min="12035" max="12035" width="11.44140625" style="360"/>
    <col min="12036" max="12036" width="12.88671875" style="360" customWidth="1"/>
    <col min="12037" max="12037" width="11.44140625" style="360" customWidth="1"/>
    <col min="12038" max="12281" width="11.44140625" style="360"/>
    <col min="12282" max="12282" width="35.6640625" style="360" customWidth="1"/>
    <col min="12283" max="12283" width="15.6640625" style="360" customWidth="1"/>
    <col min="12284" max="12286" width="0" style="360" hidden="1" customWidth="1"/>
    <col min="12287" max="12287" width="3.33203125" style="360" customWidth="1"/>
    <col min="12288" max="12290" width="15.6640625" style="360" customWidth="1"/>
    <col min="12291" max="12291" width="11.44140625" style="360"/>
    <col min="12292" max="12292" width="12.88671875" style="360" customWidth="1"/>
    <col min="12293" max="12293" width="11.44140625" style="360" customWidth="1"/>
    <col min="12294" max="12537" width="11.44140625" style="360"/>
    <col min="12538" max="12538" width="35.6640625" style="360" customWidth="1"/>
    <col min="12539" max="12539" width="15.6640625" style="360" customWidth="1"/>
    <col min="12540" max="12542" width="0" style="360" hidden="1" customWidth="1"/>
    <col min="12543" max="12543" width="3.33203125" style="360" customWidth="1"/>
    <col min="12544" max="12546" width="15.6640625" style="360" customWidth="1"/>
    <col min="12547" max="12547" width="11.44140625" style="360"/>
    <col min="12548" max="12548" width="12.88671875" style="360" customWidth="1"/>
    <col min="12549" max="12549" width="11.44140625" style="360" customWidth="1"/>
    <col min="12550" max="12793" width="11.44140625" style="360"/>
    <col min="12794" max="12794" width="35.6640625" style="360" customWidth="1"/>
    <col min="12795" max="12795" width="15.6640625" style="360" customWidth="1"/>
    <col min="12796" max="12798" width="0" style="360" hidden="1" customWidth="1"/>
    <col min="12799" max="12799" width="3.33203125" style="360" customWidth="1"/>
    <col min="12800" max="12802" width="15.6640625" style="360" customWidth="1"/>
    <col min="12803" max="12803" width="11.44140625" style="360"/>
    <col min="12804" max="12804" width="12.88671875" style="360" customWidth="1"/>
    <col min="12805" max="12805" width="11.44140625" style="360" customWidth="1"/>
    <col min="12806" max="13049" width="11.44140625" style="360"/>
    <col min="13050" max="13050" width="35.6640625" style="360" customWidth="1"/>
    <col min="13051" max="13051" width="15.6640625" style="360" customWidth="1"/>
    <col min="13052" max="13054" width="0" style="360" hidden="1" customWidth="1"/>
    <col min="13055" max="13055" width="3.33203125" style="360" customWidth="1"/>
    <col min="13056" max="13058" width="15.6640625" style="360" customWidth="1"/>
    <col min="13059" max="13059" width="11.44140625" style="360"/>
    <col min="13060" max="13060" width="12.88671875" style="360" customWidth="1"/>
    <col min="13061" max="13061" width="11.44140625" style="360" customWidth="1"/>
    <col min="13062" max="13305" width="11.44140625" style="360"/>
    <col min="13306" max="13306" width="35.6640625" style="360" customWidth="1"/>
    <col min="13307" max="13307" width="15.6640625" style="360" customWidth="1"/>
    <col min="13308" max="13310" width="0" style="360" hidden="1" customWidth="1"/>
    <col min="13311" max="13311" width="3.33203125" style="360" customWidth="1"/>
    <col min="13312" max="13314" width="15.6640625" style="360" customWidth="1"/>
    <col min="13315" max="13315" width="11.44140625" style="360"/>
    <col min="13316" max="13316" width="12.88671875" style="360" customWidth="1"/>
    <col min="13317" max="13317" width="11.44140625" style="360" customWidth="1"/>
    <col min="13318" max="13561" width="11.44140625" style="360"/>
    <col min="13562" max="13562" width="35.6640625" style="360" customWidth="1"/>
    <col min="13563" max="13563" width="15.6640625" style="360" customWidth="1"/>
    <col min="13564" max="13566" width="0" style="360" hidden="1" customWidth="1"/>
    <col min="13567" max="13567" width="3.33203125" style="360" customWidth="1"/>
    <col min="13568" max="13570" width="15.6640625" style="360" customWidth="1"/>
    <col min="13571" max="13571" width="11.44140625" style="360"/>
    <col min="13572" max="13572" width="12.88671875" style="360" customWidth="1"/>
    <col min="13573" max="13573" width="11.44140625" style="360" customWidth="1"/>
    <col min="13574" max="13817" width="11.44140625" style="360"/>
    <col min="13818" max="13818" width="35.6640625" style="360" customWidth="1"/>
    <col min="13819" max="13819" width="15.6640625" style="360" customWidth="1"/>
    <col min="13820" max="13822" width="0" style="360" hidden="1" customWidth="1"/>
    <col min="13823" max="13823" width="3.33203125" style="360" customWidth="1"/>
    <col min="13824" max="13826" width="15.6640625" style="360" customWidth="1"/>
    <col min="13827" max="13827" width="11.44140625" style="360"/>
    <col min="13828" max="13828" width="12.88671875" style="360" customWidth="1"/>
    <col min="13829" max="13829" width="11.44140625" style="360" customWidth="1"/>
    <col min="13830" max="14073" width="11.44140625" style="360"/>
    <col min="14074" max="14074" width="35.6640625" style="360" customWidth="1"/>
    <col min="14075" max="14075" width="15.6640625" style="360" customWidth="1"/>
    <col min="14076" max="14078" width="0" style="360" hidden="1" customWidth="1"/>
    <col min="14079" max="14079" width="3.33203125" style="360" customWidth="1"/>
    <col min="14080" max="14082" width="15.6640625" style="360" customWidth="1"/>
    <col min="14083" max="14083" width="11.44140625" style="360"/>
    <col min="14084" max="14084" width="12.88671875" style="360" customWidth="1"/>
    <col min="14085" max="14085" width="11.44140625" style="360" customWidth="1"/>
    <col min="14086" max="14329" width="11.44140625" style="360"/>
    <col min="14330" max="14330" width="35.6640625" style="360" customWidth="1"/>
    <col min="14331" max="14331" width="15.6640625" style="360" customWidth="1"/>
    <col min="14332" max="14334" width="0" style="360" hidden="1" customWidth="1"/>
    <col min="14335" max="14335" width="3.33203125" style="360" customWidth="1"/>
    <col min="14336" max="14338" width="15.6640625" style="360" customWidth="1"/>
    <col min="14339" max="14339" width="11.44140625" style="360"/>
    <col min="14340" max="14340" width="12.88671875" style="360" customWidth="1"/>
    <col min="14341" max="14341" width="11.44140625" style="360" customWidth="1"/>
    <col min="14342" max="14585" width="11.44140625" style="360"/>
    <col min="14586" max="14586" width="35.6640625" style="360" customWidth="1"/>
    <col min="14587" max="14587" width="15.6640625" style="360" customWidth="1"/>
    <col min="14588" max="14590" width="0" style="360" hidden="1" customWidth="1"/>
    <col min="14591" max="14591" width="3.33203125" style="360" customWidth="1"/>
    <col min="14592" max="14594" width="15.6640625" style="360" customWidth="1"/>
    <col min="14595" max="14595" width="11.44140625" style="360"/>
    <col min="14596" max="14596" width="12.88671875" style="360" customWidth="1"/>
    <col min="14597" max="14597" width="11.44140625" style="360" customWidth="1"/>
    <col min="14598" max="14841" width="11.44140625" style="360"/>
    <col min="14842" max="14842" width="35.6640625" style="360" customWidth="1"/>
    <col min="14843" max="14843" width="15.6640625" style="360" customWidth="1"/>
    <col min="14844" max="14846" width="0" style="360" hidden="1" customWidth="1"/>
    <col min="14847" max="14847" width="3.33203125" style="360" customWidth="1"/>
    <col min="14848" max="14850" width="15.6640625" style="360" customWidth="1"/>
    <col min="14851" max="14851" width="11.44140625" style="360"/>
    <col min="14852" max="14852" width="12.88671875" style="360" customWidth="1"/>
    <col min="14853" max="14853" width="11.44140625" style="360" customWidth="1"/>
    <col min="14854" max="15097" width="11.44140625" style="360"/>
    <col min="15098" max="15098" width="35.6640625" style="360" customWidth="1"/>
    <col min="15099" max="15099" width="15.6640625" style="360" customWidth="1"/>
    <col min="15100" max="15102" width="0" style="360" hidden="1" customWidth="1"/>
    <col min="15103" max="15103" width="3.33203125" style="360" customWidth="1"/>
    <col min="15104" max="15106" width="15.6640625" style="360" customWidth="1"/>
    <col min="15107" max="15107" width="11.44140625" style="360"/>
    <col min="15108" max="15108" width="12.88671875" style="360" customWidth="1"/>
    <col min="15109" max="15109" width="11.44140625" style="360" customWidth="1"/>
    <col min="15110" max="15353" width="11.44140625" style="360"/>
    <col min="15354" max="15354" width="35.6640625" style="360" customWidth="1"/>
    <col min="15355" max="15355" width="15.6640625" style="360" customWidth="1"/>
    <col min="15356" max="15358" width="0" style="360" hidden="1" customWidth="1"/>
    <col min="15359" max="15359" width="3.33203125" style="360" customWidth="1"/>
    <col min="15360" max="15362" width="15.6640625" style="360" customWidth="1"/>
    <col min="15363" max="15363" width="11.44140625" style="360"/>
    <col min="15364" max="15364" width="12.88671875" style="360" customWidth="1"/>
    <col min="15365" max="15365" width="11.44140625" style="360" customWidth="1"/>
    <col min="15366" max="15609" width="11.44140625" style="360"/>
    <col min="15610" max="15610" width="35.6640625" style="360" customWidth="1"/>
    <col min="15611" max="15611" width="15.6640625" style="360" customWidth="1"/>
    <col min="15612" max="15614" width="0" style="360" hidden="1" customWidth="1"/>
    <col min="15615" max="15615" width="3.33203125" style="360" customWidth="1"/>
    <col min="15616" max="15618" width="15.6640625" style="360" customWidth="1"/>
    <col min="15619" max="15619" width="11.44140625" style="360"/>
    <col min="15620" max="15620" width="12.88671875" style="360" customWidth="1"/>
    <col min="15621" max="15621" width="11.44140625" style="360" customWidth="1"/>
    <col min="15622" max="15865" width="11.44140625" style="360"/>
    <col min="15866" max="15866" width="35.6640625" style="360" customWidth="1"/>
    <col min="15867" max="15867" width="15.6640625" style="360" customWidth="1"/>
    <col min="15868" max="15870" width="0" style="360" hidden="1" customWidth="1"/>
    <col min="15871" max="15871" width="3.33203125" style="360" customWidth="1"/>
    <col min="15872" max="15874" width="15.6640625" style="360" customWidth="1"/>
    <col min="15875" max="15875" width="11.44140625" style="360"/>
    <col min="15876" max="15876" width="12.88671875" style="360" customWidth="1"/>
    <col min="15877" max="15877" width="11.44140625" style="360" customWidth="1"/>
    <col min="15878" max="16121" width="11.44140625" style="360"/>
    <col min="16122" max="16122" width="35.6640625" style="360" customWidth="1"/>
    <col min="16123" max="16123" width="15.6640625" style="360" customWidth="1"/>
    <col min="16124" max="16126" width="0" style="360" hidden="1" customWidth="1"/>
    <col min="16127" max="16127" width="3.33203125" style="360" customWidth="1"/>
    <col min="16128" max="16130" width="15.6640625" style="360" customWidth="1"/>
    <col min="16131" max="16131" width="11.44140625" style="360"/>
    <col min="16132" max="16132" width="12.88671875" style="360" customWidth="1"/>
    <col min="16133" max="16133" width="11.44140625" style="360" customWidth="1"/>
    <col min="16134" max="16384" width="11.44140625" style="360"/>
  </cols>
  <sheetData>
    <row r="1" spans="1:10" ht="25.8" x14ac:dyDescent="0.5">
      <c r="A1" s="632" t="s">
        <v>329</v>
      </c>
      <c r="B1" s="661"/>
      <c r="C1" s="661"/>
      <c r="D1" s="661"/>
      <c r="E1" s="662"/>
    </row>
    <row r="2" spans="1:10" ht="25.8" x14ac:dyDescent="0.5">
      <c r="A2" s="663" t="s">
        <v>239</v>
      </c>
      <c r="B2" s="664"/>
      <c r="C2" s="664"/>
      <c r="D2" s="665"/>
      <c r="E2" s="666"/>
    </row>
    <row r="3" spans="1:10" ht="15" thickBot="1" x14ac:dyDescent="0.35">
      <c r="A3" s="393">
        <f>+Stammdaten!B5</f>
        <v>0</v>
      </c>
      <c r="B3" s="307">
        <f>+Stammdaten!B3</f>
        <v>0</v>
      </c>
      <c r="C3" s="659"/>
      <c r="D3" s="625" t="s">
        <v>41</v>
      </c>
      <c r="E3" s="626"/>
    </row>
    <row r="4" spans="1:10" ht="138.9" customHeight="1" thickBot="1" x14ac:dyDescent="0.35">
      <c r="A4" s="1040" t="s">
        <v>336</v>
      </c>
      <c r="B4" s="1041"/>
      <c r="C4" s="1041"/>
      <c r="D4" s="1041"/>
      <c r="E4" s="1042"/>
      <c r="F4" s="394"/>
    </row>
    <row r="5" spans="1:10" ht="21" x14ac:dyDescent="0.4">
      <c r="A5" s="362"/>
      <c r="B5" s="361"/>
      <c r="C5" s="361"/>
      <c r="D5" s="361"/>
      <c r="E5" s="363"/>
    </row>
    <row r="6" spans="1:10" ht="39.75" customHeight="1" x14ac:dyDescent="0.4">
      <c r="A6" s="1043" t="s">
        <v>277</v>
      </c>
      <c r="B6" s="1044"/>
      <c r="C6" s="667" t="s">
        <v>20</v>
      </c>
      <c r="D6" s="668" t="s">
        <v>22</v>
      </c>
      <c r="E6" s="667" t="s">
        <v>21</v>
      </c>
    </row>
    <row r="7" spans="1:10" ht="15.75" customHeight="1" x14ac:dyDescent="0.3">
      <c r="A7" s="669" t="s">
        <v>233</v>
      </c>
      <c r="B7" s="670"/>
      <c r="C7" s="671"/>
      <c r="D7" s="672"/>
      <c r="E7" s="671"/>
    </row>
    <row r="8" spans="1:10" ht="15" thickBot="1" x14ac:dyDescent="0.35">
      <c r="A8" s="673" t="s">
        <v>162</v>
      </c>
      <c r="B8" s="674"/>
      <c r="C8" s="675" t="s">
        <v>173</v>
      </c>
      <c r="D8" s="398">
        <v>0</v>
      </c>
      <c r="E8" s="389">
        <v>1</v>
      </c>
      <c r="G8" s="81"/>
    </row>
    <row r="9" spans="1:10" x14ac:dyDescent="0.3">
      <c r="A9" s="395" t="s">
        <v>274</v>
      </c>
      <c r="B9" s="370"/>
      <c r="C9" s="371"/>
      <c r="D9" s="399">
        <f t="shared" ref="D9:D28" si="0">+C9*$D$8</f>
        <v>0</v>
      </c>
      <c r="E9" s="382">
        <f t="shared" ref="E9:E28" si="1">+C9*$E$8</f>
        <v>0</v>
      </c>
      <c r="G9" s="81"/>
    </row>
    <row r="10" spans="1:10" x14ac:dyDescent="0.3">
      <c r="A10" s="369" t="s">
        <v>45</v>
      </c>
      <c r="B10" s="370"/>
      <c r="C10" s="371"/>
      <c r="D10" s="399">
        <f t="shared" si="0"/>
        <v>0</v>
      </c>
      <c r="E10" s="382">
        <f t="shared" si="1"/>
        <v>0</v>
      </c>
      <c r="G10" s="81"/>
      <c r="J10" s="396"/>
    </row>
    <row r="11" spans="1:10" x14ac:dyDescent="0.3">
      <c r="A11" s="369" t="s">
        <v>46</v>
      </c>
      <c r="B11" s="370"/>
      <c r="C11" s="371"/>
      <c r="D11" s="399">
        <f t="shared" si="0"/>
        <v>0</v>
      </c>
      <c r="E11" s="382">
        <f t="shared" si="1"/>
        <v>0</v>
      </c>
      <c r="G11" s="81"/>
    </row>
    <row r="12" spans="1:10" x14ac:dyDescent="0.3">
      <c r="A12" s="369" t="s">
        <v>47</v>
      </c>
      <c r="B12" s="370"/>
      <c r="C12" s="371"/>
      <c r="D12" s="399">
        <f t="shared" si="0"/>
        <v>0</v>
      </c>
      <c r="E12" s="382">
        <f t="shared" si="1"/>
        <v>0</v>
      </c>
    </row>
    <row r="13" spans="1:10" x14ac:dyDescent="0.3">
      <c r="A13" s="369" t="s">
        <v>48</v>
      </c>
      <c r="B13" s="370"/>
      <c r="C13" s="371"/>
      <c r="D13" s="399">
        <f t="shared" si="0"/>
        <v>0</v>
      </c>
      <c r="E13" s="382">
        <f t="shared" si="1"/>
        <v>0</v>
      </c>
    </row>
    <row r="14" spans="1:10" x14ac:dyDescent="0.3">
      <c r="A14" s="369" t="s">
        <v>49</v>
      </c>
      <c r="B14" s="370"/>
      <c r="C14" s="371"/>
      <c r="D14" s="399">
        <f t="shared" si="0"/>
        <v>0</v>
      </c>
      <c r="E14" s="382">
        <f t="shared" si="1"/>
        <v>0</v>
      </c>
      <c r="J14" s="396"/>
    </row>
    <row r="15" spans="1:10" x14ac:dyDescent="0.3">
      <c r="A15" s="369" t="s">
        <v>30</v>
      </c>
      <c r="B15" s="370"/>
      <c r="C15" s="371"/>
      <c r="D15" s="399">
        <f t="shared" si="0"/>
        <v>0</v>
      </c>
      <c r="E15" s="382">
        <f t="shared" si="1"/>
        <v>0</v>
      </c>
    </row>
    <row r="16" spans="1:10" x14ac:dyDescent="0.3">
      <c r="A16" s="369" t="s">
        <v>31</v>
      </c>
      <c r="B16" s="370"/>
      <c r="C16" s="371"/>
      <c r="D16" s="399">
        <f t="shared" si="0"/>
        <v>0</v>
      </c>
      <c r="E16" s="382">
        <f t="shared" si="1"/>
        <v>0</v>
      </c>
    </row>
    <row r="17" spans="1:8" x14ac:dyDescent="0.3">
      <c r="A17" s="369" t="s">
        <v>32</v>
      </c>
      <c r="B17" s="370"/>
      <c r="C17" s="371"/>
      <c r="D17" s="399">
        <f t="shared" si="0"/>
        <v>0</v>
      </c>
      <c r="E17" s="382">
        <f t="shared" si="1"/>
        <v>0</v>
      </c>
    </row>
    <row r="18" spans="1:8" x14ac:dyDescent="0.3">
      <c r="A18" s="369" t="s">
        <v>33</v>
      </c>
      <c r="B18" s="370"/>
      <c r="C18" s="371"/>
      <c r="D18" s="399">
        <f t="shared" si="0"/>
        <v>0</v>
      </c>
      <c r="E18" s="382">
        <f t="shared" si="1"/>
        <v>0</v>
      </c>
    </row>
    <row r="19" spans="1:8" x14ac:dyDescent="0.3">
      <c r="A19" s="369" t="s">
        <v>34</v>
      </c>
      <c r="B19" s="370"/>
      <c r="C19" s="371"/>
      <c r="D19" s="399">
        <f t="shared" si="0"/>
        <v>0</v>
      </c>
      <c r="E19" s="382">
        <f t="shared" si="1"/>
        <v>0</v>
      </c>
    </row>
    <row r="20" spans="1:8" x14ac:dyDescent="0.3">
      <c r="A20" s="369" t="s">
        <v>35</v>
      </c>
      <c r="B20" s="370"/>
      <c r="C20" s="371"/>
      <c r="D20" s="399">
        <f t="shared" si="0"/>
        <v>0</v>
      </c>
      <c r="E20" s="382">
        <f t="shared" si="1"/>
        <v>0</v>
      </c>
    </row>
    <row r="21" spans="1:8" x14ac:dyDescent="0.3">
      <c r="A21" s="369" t="s">
        <v>36</v>
      </c>
      <c r="B21" s="370"/>
      <c r="C21" s="371"/>
      <c r="D21" s="399">
        <f t="shared" si="0"/>
        <v>0</v>
      </c>
      <c r="E21" s="382">
        <f t="shared" si="1"/>
        <v>0</v>
      </c>
    </row>
    <row r="22" spans="1:8" x14ac:dyDescent="0.3">
      <c r="A22" s="369" t="s">
        <v>37</v>
      </c>
      <c r="B22" s="370"/>
      <c r="C22" s="371"/>
      <c r="D22" s="399">
        <f t="shared" si="0"/>
        <v>0</v>
      </c>
      <c r="E22" s="382">
        <f t="shared" si="1"/>
        <v>0</v>
      </c>
    </row>
    <row r="23" spans="1:8" x14ac:dyDescent="0.3">
      <c r="A23" s="369" t="s">
        <v>38</v>
      </c>
      <c r="B23" s="370"/>
      <c r="C23" s="371"/>
      <c r="D23" s="399">
        <f t="shared" si="0"/>
        <v>0</v>
      </c>
      <c r="E23" s="382">
        <f t="shared" si="1"/>
        <v>0</v>
      </c>
    </row>
    <row r="24" spans="1:8" x14ac:dyDescent="0.3">
      <c r="A24" s="369" t="s">
        <v>39</v>
      </c>
      <c r="B24" s="370"/>
      <c r="C24" s="371"/>
      <c r="D24" s="399">
        <f t="shared" si="0"/>
        <v>0</v>
      </c>
      <c r="E24" s="382">
        <f t="shared" si="1"/>
        <v>0</v>
      </c>
    </row>
    <row r="25" spans="1:8" ht="28.8" x14ac:dyDescent="0.3">
      <c r="A25" s="372" t="s">
        <v>51</v>
      </c>
      <c r="B25" s="370"/>
      <c r="C25" s="371"/>
      <c r="D25" s="399">
        <f t="shared" si="0"/>
        <v>0</v>
      </c>
      <c r="E25" s="382">
        <f t="shared" si="1"/>
        <v>0</v>
      </c>
    </row>
    <row r="26" spans="1:8" x14ac:dyDescent="0.3">
      <c r="A26" s="373" t="s">
        <v>156</v>
      </c>
      <c r="B26" s="397"/>
      <c r="C26" s="371"/>
      <c r="D26" s="399">
        <f t="shared" si="0"/>
        <v>0</v>
      </c>
      <c r="E26" s="382">
        <f t="shared" si="1"/>
        <v>0</v>
      </c>
    </row>
    <row r="27" spans="1:8" x14ac:dyDescent="0.3">
      <c r="A27" s="373" t="s">
        <v>50</v>
      </c>
      <c r="B27" s="370"/>
      <c r="C27" s="371"/>
      <c r="D27" s="399">
        <f t="shared" si="0"/>
        <v>0</v>
      </c>
      <c r="E27" s="382">
        <f t="shared" si="1"/>
        <v>0</v>
      </c>
    </row>
    <row r="28" spans="1:8" x14ac:dyDescent="0.3">
      <c r="A28" s="373"/>
      <c r="B28" s="370"/>
      <c r="C28" s="371"/>
      <c r="D28" s="399">
        <f t="shared" si="0"/>
        <v>0</v>
      </c>
      <c r="E28" s="382">
        <f t="shared" si="1"/>
        <v>0</v>
      </c>
    </row>
    <row r="29" spans="1:8" x14ac:dyDescent="0.3">
      <c r="A29" s="676" t="s">
        <v>10</v>
      </c>
      <c r="B29" s="677"/>
      <c r="C29" s="269">
        <f>+SUM(C9:C28)</f>
        <v>0</v>
      </c>
      <c r="D29" s="400">
        <f>+SUM(D9:D28)</f>
        <v>0</v>
      </c>
      <c r="E29" s="269">
        <f>+SUM(E9:E28)</f>
        <v>0</v>
      </c>
      <c r="G29" s="392" t="s">
        <v>6</v>
      </c>
      <c r="H29" s="167">
        <f>+C29-D29-E29</f>
        <v>0</v>
      </c>
    </row>
    <row r="30" spans="1:8" x14ac:dyDescent="0.3">
      <c r="A30" s="678"/>
      <c r="B30" s="679"/>
      <c r="C30" s="680"/>
      <c r="D30" s="681"/>
      <c r="E30" s="572"/>
      <c r="H30" s="119"/>
    </row>
    <row r="31" spans="1:8" x14ac:dyDescent="0.3">
      <c r="A31" s="682" t="s">
        <v>278</v>
      </c>
      <c r="B31" s="683"/>
      <c r="C31" s="401">
        <f>+'B_2 Sonder-Infrastr.'!E72</f>
        <v>0</v>
      </c>
      <c r="D31" s="681"/>
      <c r="E31" s="572"/>
      <c r="H31" s="119"/>
    </row>
    <row r="32" spans="1:8" x14ac:dyDescent="0.3">
      <c r="A32" s="676" t="s">
        <v>225</v>
      </c>
      <c r="B32" s="677"/>
      <c r="C32" s="269">
        <f>+C29*C31</f>
        <v>0</v>
      </c>
      <c r="D32" s="400">
        <f>+D29*C31</f>
        <v>0</v>
      </c>
      <c r="E32" s="269">
        <f>+E29*C31</f>
        <v>0</v>
      </c>
      <c r="G32" s="392" t="s">
        <v>6</v>
      </c>
      <c r="H32" s="167">
        <f>+C32-D32-E32</f>
        <v>0</v>
      </c>
    </row>
    <row r="33" spans="1:8" x14ac:dyDescent="0.3">
      <c r="A33" s="684" t="s">
        <v>18</v>
      </c>
      <c r="B33" s="402">
        <f>+'B_1 Geb. Kaltmiete'!B104</f>
        <v>0.96499999999999997</v>
      </c>
      <c r="C33" s="382"/>
      <c r="D33" s="399"/>
      <c r="E33" s="382"/>
      <c r="H33" s="210"/>
    </row>
    <row r="34" spans="1:8" x14ac:dyDescent="0.3">
      <c r="A34" s="685"/>
      <c r="B34" s="686" t="s">
        <v>228</v>
      </c>
      <c r="C34" s="390" t="e">
        <f>+C32/Stammdaten!B7/B33</f>
        <v>#DIV/0!</v>
      </c>
      <c r="D34" s="403" t="e">
        <f>+D32/Stammdaten!B7/B33</f>
        <v>#DIV/0!</v>
      </c>
      <c r="E34" s="390" t="e">
        <f>+E32/Stammdaten!B7/B33</f>
        <v>#DIV/0!</v>
      </c>
      <c r="G34" s="392" t="s">
        <v>6</v>
      </c>
      <c r="H34" s="167" t="e">
        <f>+C34-D34-E34</f>
        <v>#DIV/0!</v>
      </c>
    </row>
    <row r="35" spans="1:8" ht="18" x14ac:dyDescent="0.35">
      <c r="A35" s="687"/>
      <c r="B35" s="688" t="s">
        <v>229</v>
      </c>
      <c r="C35" s="304" t="e">
        <f>+C34/12</f>
        <v>#DIV/0!</v>
      </c>
      <c r="D35" s="404" t="e">
        <f>D34/12</f>
        <v>#DIV/0!</v>
      </c>
      <c r="E35" s="304" t="e">
        <f>E34/12</f>
        <v>#DIV/0!</v>
      </c>
      <c r="G35" s="392" t="s">
        <v>6</v>
      </c>
      <c r="H35" s="167" t="e">
        <f>+C35-D35-E35</f>
        <v>#DIV/0!</v>
      </c>
    </row>
    <row r="36" spans="1:8" x14ac:dyDescent="0.3">
      <c r="G36" s="392" t="s">
        <v>6</v>
      </c>
      <c r="H36" s="167" t="e">
        <f>+C32-(C35*Stammdaten!B7*12*B33)</f>
        <v>#DIV/0!</v>
      </c>
    </row>
  </sheetData>
  <sheetProtection algorithmName="SHA-512" hashValue="LQoTzJkkQZd58XykJ2NDs5I0vRGLapw9RzO1e+BiaWzZzJ2TzeZfKqafnpdxpnFkX6JvSTk+bK37S1d4BZRB3g==" saltValue="wUBC2CCeMQHf3WGh0jeiHg==" spinCount="100000" sheet="1" objects="1" scenarios="1"/>
  <mergeCells count="2">
    <mergeCell ref="A4:E4"/>
    <mergeCell ref="A6:B6"/>
  </mergeCells>
  <conditionalFormatting sqref="H29">
    <cfRule type="expression" dxfId="45" priority="4">
      <formula>OR(H29&lt;-0.0009,H29&gt;0.0009)</formula>
    </cfRule>
  </conditionalFormatting>
  <conditionalFormatting sqref="H32">
    <cfRule type="expression" dxfId="44" priority="3">
      <formula>OR(H32&lt;-0.0009,H32&gt;0.0009)</formula>
    </cfRule>
  </conditionalFormatting>
  <conditionalFormatting sqref="H34:H35">
    <cfRule type="expression" dxfId="43" priority="2">
      <formula>OR(H34&lt;-0.0009,H34&gt;0.0009)</formula>
    </cfRule>
  </conditionalFormatting>
  <conditionalFormatting sqref="H36">
    <cfRule type="expression" dxfId="42" priority="1">
      <formula>OR(H36&lt;-0.0009,H36&gt;0.0009)</formula>
    </cfRule>
  </conditionalFormatting>
  <pageMargins left="0.7" right="0.7" top="0.78740157499999996" bottom="0.78740157499999996" header="0.3" footer="0.3"/>
  <pageSetup paperSize="9" scale="94" fitToWidth="0" fitToHeight="0" orientation="portrait" r:id="rId1"/>
  <colBreaks count="1" manualBreakCount="1">
    <brk id="5"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3"/>
  <dimension ref="A1:I53"/>
  <sheetViews>
    <sheetView zoomScaleNormal="100" workbookViewId="0">
      <selection activeCell="A4" sqref="A4"/>
    </sheetView>
  </sheetViews>
  <sheetFormatPr baseColWidth="10" defaultColWidth="11.44140625" defaultRowHeight="14.4" x14ac:dyDescent="0.3"/>
  <cols>
    <col min="1" max="1" width="24" style="119" customWidth="1"/>
    <col min="2" max="2" width="20.44140625" style="119" customWidth="1"/>
    <col min="3" max="3" width="12.6640625" style="119" customWidth="1"/>
    <col min="4" max="4" width="14" style="119" customWidth="1"/>
    <col min="5" max="5" width="17.6640625" style="119" customWidth="1"/>
    <col min="6" max="6" width="16" style="119" customWidth="1"/>
    <col min="7" max="7" width="5.109375" style="119" customWidth="1"/>
    <col min="8" max="8" width="7.6640625" style="119" customWidth="1"/>
    <col min="9" max="9" width="13.33203125" style="119" bestFit="1" customWidth="1"/>
    <col min="10" max="16384" width="11.44140625" style="119"/>
  </cols>
  <sheetData>
    <row r="1" spans="1:9" ht="25.8" x14ac:dyDescent="0.5">
      <c r="A1" s="622" t="s">
        <v>329</v>
      </c>
      <c r="B1" s="689"/>
      <c r="C1" s="654"/>
      <c r="D1" s="654"/>
      <c r="E1" s="627"/>
      <c r="F1" s="620"/>
    </row>
    <row r="2" spans="1:9" ht="25.8" x14ac:dyDescent="0.5">
      <c r="A2" s="656" t="s">
        <v>25</v>
      </c>
      <c r="B2" s="690"/>
      <c r="C2" s="657"/>
      <c r="D2" s="657"/>
      <c r="E2" s="535"/>
      <c r="F2" s="624" t="str">
        <f>+Stammdaten!D2</f>
        <v>Version 1.7</v>
      </c>
    </row>
    <row r="3" spans="1:9" x14ac:dyDescent="0.3">
      <c r="A3" s="393">
        <f>+Stammdaten!B5</f>
        <v>0</v>
      </c>
      <c r="B3" s="691"/>
      <c r="C3" s="307">
        <f>+Stammdaten!B3</f>
        <v>0</v>
      </c>
      <c r="D3" s="307"/>
      <c r="E3" s="625" t="s">
        <v>41</v>
      </c>
      <c r="F3" s="626"/>
    </row>
    <row r="4" spans="1:9" ht="15" thickBot="1" x14ac:dyDescent="0.35">
      <c r="A4" s="408"/>
      <c r="B4" s="409"/>
      <c r="C4" s="120"/>
      <c r="D4" s="120"/>
      <c r="E4" s="120"/>
      <c r="F4" s="198"/>
    </row>
    <row r="5" spans="1:9" ht="105" customHeight="1" thickBot="1" x14ac:dyDescent="0.35">
      <c r="A5" s="1020" t="s">
        <v>318</v>
      </c>
      <c r="B5" s="979"/>
      <c r="C5" s="979"/>
      <c r="D5" s="979"/>
      <c r="E5" s="979"/>
      <c r="F5" s="1015"/>
    </row>
    <row r="6" spans="1:9" x14ac:dyDescent="0.3">
      <c r="A6" s="1037" t="s">
        <v>305</v>
      </c>
      <c r="B6" s="1038"/>
      <c r="C6" s="1039"/>
      <c r="D6" s="1011"/>
      <c r="E6" s="558" t="str">
        <f>+IF(D8="x","","Platzzahl:")</f>
        <v>Platzzahl:</v>
      </c>
      <c r="F6" s="564">
        <f>+IF(D8="x","",Stammdaten!B7)</f>
        <v>0</v>
      </c>
      <c r="G6" s="611" t="str">
        <f>+IF(AND(D6="x",D8="x"),"Bitte wählen Sie ENTWEDER Regelfall ODER atypische Ausstattung!","")</f>
        <v/>
      </c>
    </row>
    <row r="7" spans="1:9" ht="15" thickBot="1" x14ac:dyDescent="0.35">
      <c r="A7" s="531"/>
      <c r="B7" s="530"/>
      <c r="C7" s="524" t="s">
        <v>271</v>
      </c>
      <c r="D7" s="1036"/>
      <c r="E7" s="533" t="str">
        <f>+IF(D8="x","","Ansatz Ausstattung:")</f>
        <v>Ansatz Ausstattung:</v>
      </c>
      <c r="F7" s="563">
        <f>+IF(D8="x","",F6*6000)</f>
        <v>0</v>
      </c>
    </row>
    <row r="8" spans="1:9" x14ac:dyDescent="0.3">
      <c r="A8" s="1037" t="s">
        <v>306</v>
      </c>
      <c r="B8" s="1038"/>
      <c r="C8" s="1039"/>
      <c r="D8" s="1011"/>
      <c r="E8" s="1051" t="str">
        <f>+IF(D8="x","Ansatz Ausstattung:","")</f>
        <v/>
      </c>
      <c r="F8" s="1053" t="str">
        <f>+IF(D8="x",'Anlage atyp. Ausstattung'!D64,"")</f>
        <v/>
      </c>
      <c r="G8" s="405" t="str">
        <f>+IF(AND(D6="",D8=""),"Bitte wählen Sie ENTWEDER Regelfall ODER atypische Ausstattung!","")</f>
        <v>Bitte wählen Sie ENTWEDER Regelfall ODER atypische Ausstattung!</v>
      </c>
    </row>
    <row r="9" spans="1:9" ht="31.5" customHeight="1" thickBot="1" x14ac:dyDescent="0.35">
      <c r="A9" s="1048" t="s">
        <v>310</v>
      </c>
      <c r="B9" s="1049"/>
      <c r="C9" s="1050"/>
      <c r="D9" s="1036"/>
      <c r="E9" s="1052"/>
      <c r="F9" s="1054"/>
      <c r="G9" s="405" t="str">
        <f>+IF(AND(D8="x",F8=0),"Bitte füllen Sie den Reiter Anlage atyp. Ausstattung aus!","")</f>
        <v/>
      </c>
    </row>
    <row r="10" spans="1:9" x14ac:dyDescent="0.3">
      <c r="A10" s="408"/>
      <c r="B10" s="409"/>
      <c r="C10" s="120"/>
      <c r="D10" s="120"/>
      <c r="E10" s="120"/>
      <c r="F10" s="198"/>
    </row>
    <row r="11" spans="1:9" ht="30.9" customHeight="1" x14ac:dyDescent="0.3">
      <c r="A11" s="1045" t="s">
        <v>304</v>
      </c>
      <c r="B11" s="1046"/>
      <c r="C11" s="1047"/>
      <c r="D11" s="943" t="s">
        <v>178</v>
      </c>
      <c r="E11" s="586" t="s">
        <v>22</v>
      </c>
      <c r="F11" s="586" t="s">
        <v>21</v>
      </c>
    </row>
    <row r="12" spans="1:9" x14ac:dyDescent="0.3">
      <c r="A12" s="587" t="s">
        <v>166</v>
      </c>
      <c r="B12" s="588"/>
      <c r="C12" s="589"/>
      <c r="D12" s="590"/>
      <c r="E12" s="591" t="e">
        <f>+'A Flächen'!E174</f>
        <v>#DIV/0!</v>
      </c>
      <c r="F12" s="592" t="e">
        <f>+'A Flächen'!E175</f>
        <v>#DIV/0!</v>
      </c>
    </row>
    <row r="13" spans="1:9" x14ac:dyDescent="0.3">
      <c r="A13" s="594" t="s">
        <v>117</v>
      </c>
      <c r="B13" s="595"/>
      <c r="C13" s="595"/>
      <c r="D13" s="419">
        <f>+IF(D6="x",F7,IF(D8="X",F8,0))</f>
        <v>0</v>
      </c>
      <c r="E13" s="419" t="e">
        <f>+D13*E12</f>
        <v>#DIV/0!</v>
      </c>
      <c r="F13" s="420" t="e">
        <f>+D13*F12</f>
        <v>#DIV/0!</v>
      </c>
      <c r="H13" s="113" t="s">
        <v>6</v>
      </c>
      <c r="I13" s="167" t="e">
        <f>+D13-E13-F13</f>
        <v>#DIV/0!</v>
      </c>
    </row>
    <row r="14" spans="1:9" x14ac:dyDescent="0.3">
      <c r="A14" s="31"/>
      <c r="B14" s="3"/>
      <c r="C14" s="3"/>
      <c r="D14" s="692"/>
      <c r="E14" s="575"/>
      <c r="F14" s="421"/>
    </row>
    <row r="15" spans="1:9" x14ac:dyDescent="0.3">
      <c r="A15" s="596" t="s">
        <v>26</v>
      </c>
      <c r="B15" s="597"/>
      <c r="C15" s="422">
        <v>0.125</v>
      </c>
      <c r="D15" s="269">
        <f>+D13*0.125</f>
        <v>0</v>
      </c>
      <c r="E15" s="269" t="e">
        <f>+E13*0.125</f>
        <v>#DIV/0!</v>
      </c>
      <c r="F15" s="269" t="e">
        <f>+F13*0.125</f>
        <v>#DIV/0!</v>
      </c>
    </row>
    <row r="16" spans="1:9" x14ac:dyDescent="0.3">
      <c r="A16" s="31"/>
      <c r="B16" s="3"/>
      <c r="C16" s="3"/>
      <c r="D16" s="692"/>
      <c r="E16" s="692"/>
      <c r="F16" s="692"/>
    </row>
    <row r="17" spans="1:9" x14ac:dyDescent="0.3">
      <c r="A17" s="596" t="s">
        <v>27</v>
      </c>
      <c r="B17" s="597"/>
      <c r="C17" s="598"/>
      <c r="D17" s="294"/>
      <c r="E17" s="294"/>
      <c r="F17" s="599"/>
    </row>
    <row r="18" spans="1:9" ht="15" thickBot="1" x14ac:dyDescent="0.35">
      <c r="A18" s="31" t="s">
        <v>165</v>
      </c>
      <c r="B18" s="410"/>
      <c r="C18" s="411"/>
      <c r="D18" s="412"/>
      <c r="E18" s="413"/>
      <c r="F18" s="413"/>
    </row>
    <row r="19" spans="1:9" ht="15" thickTop="1" x14ac:dyDescent="0.3">
      <c r="A19" s="31" t="s">
        <v>168</v>
      </c>
      <c r="B19" s="423">
        <f>+D13-B18</f>
        <v>0</v>
      </c>
      <c r="C19" s="696" t="s">
        <v>169</v>
      </c>
      <c r="D19" s="414"/>
      <c r="E19" s="415"/>
      <c r="F19" s="415"/>
      <c r="G19" s="76"/>
    </row>
    <row r="20" spans="1:9" x14ac:dyDescent="0.3">
      <c r="A20" s="693" t="s">
        <v>170</v>
      </c>
      <c r="B20" s="382">
        <f>+B19-B21</f>
        <v>0</v>
      </c>
      <c r="C20" s="424">
        <f>+'B_1 Geb. Kaltmiete'!C87</f>
        <v>1.4999999999999999E-2</v>
      </c>
      <c r="D20" s="425">
        <f>+C20*B20</f>
        <v>0</v>
      </c>
      <c r="E20" s="427" t="e">
        <f>+D20*$E$12</f>
        <v>#DIV/0!</v>
      </c>
      <c r="F20" s="427" t="e">
        <f>+D20*$F$12</f>
        <v>#DIV/0!</v>
      </c>
      <c r="G20" s="76"/>
    </row>
    <row r="21" spans="1:9" x14ac:dyDescent="0.3">
      <c r="A21" s="693" t="s">
        <v>171</v>
      </c>
      <c r="B21" s="371"/>
      <c r="C21" s="416"/>
      <c r="D21" s="426">
        <f>+C21*B21</f>
        <v>0</v>
      </c>
      <c r="E21" s="428" t="e">
        <f>+D21*$E$12</f>
        <v>#DIV/0!</v>
      </c>
      <c r="F21" s="428" t="e">
        <f>+D21*$F$12</f>
        <v>#DIV/0!</v>
      </c>
      <c r="G21" s="76"/>
    </row>
    <row r="22" spans="1:9" x14ac:dyDescent="0.3">
      <c r="A22" s="694" t="s">
        <v>27</v>
      </c>
      <c r="B22" s="695"/>
      <c r="C22" s="431"/>
      <c r="D22" s="429">
        <f>SUM(D20:D21)</f>
        <v>0</v>
      </c>
      <c r="E22" s="429" t="e">
        <f>SUM(E20:E21)</f>
        <v>#DIV/0!</v>
      </c>
      <c r="F22" s="429" t="e">
        <f>SUM(F20:F21)</f>
        <v>#DIV/0!</v>
      </c>
      <c r="H22" s="113" t="s">
        <v>6</v>
      </c>
      <c r="I22" s="167" t="e">
        <f>+D22-E22-F22</f>
        <v>#DIV/0!</v>
      </c>
    </row>
    <row r="23" spans="1:9" x14ac:dyDescent="0.3">
      <c r="A23" s="697"/>
      <c r="B23" s="628"/>
      <c r="C23" s="698"/>
      <c r="D23" s="699"/>
      <c r="E23" s="700"/>
      <c r="F23" s="700"/>
      <c r="H23" s="417"/>
    </row>
    <row r="24" spans="1:9" x14ac:dyDescent="0.3">
      <c r="A24" s="694" t="s">
        <v>14</v>
      </c>
      <c r="B24" s="695"/>
      <c r="C24" s="431">
        <v>8.0000000000000002E-3</v>
      </c>
      <c r="D24" s="354">
        <f>+D13*C24</f>
        <v>0</v>
      </c>
      <c r="E24" s="354" t="e">
        <f>+C24*E13</f>
        <v>#DIV/0!</v>
      </c>
      <c r="F24" s="354" t="e">
        <f>+F13*C24</f>
        <v>#DIV/0!</v>
      </c>
      <c r="H24" s="417"/>
    </row>
    <row r="25" spans="1:9" x14ac:dyDescent="0.3">
      <c r="A25" s="701"/>
      <c r="B25" s="702"/>
      <c r="C25" s="703"/>
      <c r="D25" s="358"/>
      <c r="E25" s="704"/>
      <c r="F25" s="704"/>
      <c r="H25" s="417"/>
    </row>
    <row r="26" spans="1:9" x14ac:dyDescent="0.3">
      <c r="A26" s="694" t="s">
        <v>118</v>
      </c>
      <c r="B26" s="695"/>
      <c r="C26" s="588"/>
      <c r="D26" s="354">
        <f>+D24+D22+D15</f>
        <v>0</v>
      </c>
      <c r="E26" s="354" t="e">
        <f>+E24+E22+E15</f>
        <v>#DIV/0!</v>
      </c>
      <c r="F26" s="354" t="e">
        <f>+F24+F22+F15</f>
        <v>#DIV/0!</v>
      </c>
    </row>
    <row r="27" spans="1:9" x14ac:dyDescent="0.3">
      <c r="A27" s="705"/>
      <c r="B27" s="307"/>
      <c r="C27" s="307"/>
      <c r="D27" s="300"/>
      <c r="E27" s="278"/>
      <c r="F27" s="278"/>
    </row>
    <row r="28" spans="1:9" x14ac:dyDescent="0.3">
      <c r="A28" s="706" t="s">
        <v>18</v>
      </c>
      <c r="B28" s="620"/>
      <c r="C28" s="391">
        <f>+'B_1 Geb. Kaltmiete'!B104</f>
        <v>0.96499999999999997</v>
      </c>
      <c r="D28" s="707"/>
      <c r="E28" s="708"/>
      <c r="F28" s="708"/>
    </row>
    <row r="29" spans="1:9" x14ac:dyDescent="0.3">
      <c r="A29" s="31" t="s">
        <v>180</v>
      </c>
      <c r="B29" s="432"/>
      <c r="C29" s="432">
        <f>+Stammdaten!B7*12*C28</f>
        <v>0</v>
      </c>
      <c r="D29" s="432"/>
      <c r="E29" s="709"/>
      <c r="F29" s="709"/>
    </row>
    <row r="30" spans="1:9" ht="18" x14ac:dyDescent="0.35">
      <c r="A30" s="607" t="s">
        <v>230</v>
      </c>
      <c r="B30" s="608"/>
      <c r="C30" s="609"/>
      <c r="D30" s="433" t="e">
        <f>+D26/$C$29</f>
        <v>#DIV/0!</v>
      </c>
      <c r="E30" s="433" t="e">
        <f>+E26/$C$29</f>
        <v>#DIV/0!</v>
      </c>
      <c r="F30" s="433" t="e">
        <f>+F26/$C$29</f>
        <v>#DIV/0!</v>
      </c>
      <c r="H30" s="113" t="s">
        <v>6</v>
      </c>
      <c r="I30" s="167" t="e">
        <f>+F30+E30-D30</f>
        <v>#DIV/0!</v>
      </c>
    </row>
    <row r="31" spans="1:9" x14ac:dyDescent="0.3">
      <c r="D31" s="418"/>
      <c r="E31" s="418"/>
      <c r="F31" s="418"/>
    </row>
    <row r="32" spans="1:9" x14ac:dyDescent="0.3">
      <c r="D32" s="418"/>
      <c r="E32" s="418"/>
      <c r="F32" s="418"/>
    </row>
    <row r="33" spans="4:6" x14ac:dyDescent="0.3">
      <c r="D33" s="418"/>
      <c r="E33" s="418"/>
      <c r="F33" s="418"/>
    </row>
    <row r="34" spans="4:6" x14ac:dyDescent="0.3">
      <c r="D34" s="418"/>
      <c r="E34" s="418"/>
      <c r="F34" s="418"/>
    </row>
    <row r="35" spans="4:6" x14ac:dyDescent="0.3">
      <c r="D35" s="418"/>
      <c r="E35" s="418"/>
      <c r="F35" s="418"/>
    </row>
    <row r="36" spans="4:6" x14ac:dyDescent="0.3">
      <c r="D36" s="418"/>
      <c r="E36" s="418"/>
      <c r="F36" s="418"/>
    </row>
    <row r="37" spans="4:6" x14ac:dyDescent="0.3">
      <c r="D37" s="418"/>
      <c r="E37" s="418"/>
      <c r="F37" s="418"/>
    </row>
    <row r="38" spans="4:6" x14ac:dyDescent="0.3">
      <c r="D38" s="418"/>
      <c r="E38" s="418"/>
      <c r="F38" s="418"/>
    </row>
    <row r="39" spans="4:6" x14ac:dyDescent="0.3">
      <c r="D39" s="418"/>
      <c r="E39" s="418"/>
      <c r="F39" s="418"/>
    </row>
    <row r="40" spans="4:6" x14ac:dyDescent="0.3">
      <c r="D40" s="418"/>
      <c r="E40" s="418"/>
      <c r="F40" s="418"/>
    </row>
    <row r="41" spans="4:6" x14ac:dyDescent="0.3">
      <c r="D41" s="418"/>
      <c r="E41" s="418"/>
      <c r="F41" s="418"/>
    </row>
    <row r="42" spans="4:6" x14ac:dyDescent="0.3">
      <c r="D42" s="418"/>
      <c r="E42" s="418"/>
      <c r="F42" s="418"/>
    </row>
    <row r="43" spans="4:6" x14ac:dyDescent="0.3">
      <c r="D43" s="418"/>
      <c r="E43" s="418"/>
      <c r="F43" s="418"/>
    </row>
    <row r="44" spans="4:6" x14ac:dyDescent="0.3">
      <c r="D44" s="418"/>
      <c r="E44" s="418"/>
      <c r="F44" s="418"/>
    </row>
    <row r="45" spans="4:6" x14ac:dyDescent="0.3">
      <c r="D45" s="418"/>
      <c r="E45" s="418"/>
      <c r="F45" s="418"/>
    </row>
    <row r="46" spans="4:6" x14ac:dyDescent="0.3">
      <c r="D46" s="418"/>
      <c r="E46" s="418"/>
      <c r="F46" s="418"/>
    </row>
    <row r="47" spans="4:6" x14ac:dyDescent="0.3">
      <c r="D47" s="418"/>
      <c r="E47" s="418"/>
      <c r="F47" s="418"/>
    </row>
    <row r="48" spans="4:6" x14ac:dyDescent="0.3">
      <c r="D48" s="418"/>
      <c r="E48" s="418"/>
      <c r="F48" s="418"/>
    </row>
    <row r="49" spans="4:6" x14ac:dyDescent="0.3">
      <c r="D49" s="418"/>
      <c r="E49" s="418"/>
      <c r="F49" s="418"/>
    </row>
    <row r="50" spans="4:6" x14ac:dyDescent="0.3">
      <c r="D50" s="418"/>
      <c r="E50" s="418"/>
      <c r="F50" s="418"/>
    </row>
    <row r="51" spans="4:6" x14ac:dyDescent="0.3">
      <c r="D51" s="418"/>
      <c r="E51" s="418"/>
      <c r="F51" s="418"/>
    </row>
    <row r="52" spans="4:6" x14ac:dyDescent="0.3">
      <c r="D52" s="418"/>
      <c r="E52" s="418"/>
      <c r="F52" s="418"/>
    </row>
    <row r="53" spans="4:6" x14ac:dyDescent="0.3">
      <c r="D53" s="418"/>
      <c r="E53" s="418"/>
      <c r="F53" s="418"/>
    </row>
  </sheetData>
  <sheetProtection password="A41D" sheet="1" objects="1" scenarios="1"/>
  <mergeCells count="9">
    <mergeCell ref="A11:C11"/>
    <mergeCell ref="A5:F5"/>
    <mergeCell ref="A6:C6"/>
    <mergeCell ref="D6:D7"/>
    <mergeCell ref="A8:C8"/>
    <mergeCell ref="D8:D9"/>
    <mergeCell ref="A9:C9"/>
    <mergeCell ref="E8:E9"/>
    <mergeCell ref="F8:F9"/>
  </mergeCells>
  <conditionalFormatting sqref="I13">
    <cfRule type="expression" dxfId="41" priority="7">
      <formula>OR(I13&lt;-0.0009,I13&gt;0.0009)</formula>
    </cfRule>
  </conditionalFormatting>
  <conditionalFormatting sqref="I22">
    <cfRule type="expression" dxfId="40" priority="6">
      <formula>OR(I22&lt;-0.0009,I22&gt;0.0009)</formula>
    </cfRule>
  </conditionalFormatting>
  <conditionalFormatting sqref="I30">
    <cfRule type="expression" dxfId="39" priority="5">
      <formula>OR(I30&lt;-0.0009,I30&gt;0.0009)</formula>
    </cfRule>
  </conditionalFormatting>
  <conditionalFormatting sqref="D6:D7">
    <cfRule type="expression" dxfId="38" priority="3">
      <formula>AND($D$6="x",$D$8="x")</formula>
    </cfRule>
    <cfRule type="expression" dxfId="37" priority="4">
      <formula>$D$8="x"</formula>
    </cfRule>
  </conditionalFormatting>
  <conditionalFormatting sqref="D8:D9">
    <cfRule type="expression" dxfId="36" priority="1">
      <formula>AND($D$6="x",$D$8="x")</formula>
    </cfRule>
    <cfRule type="expression" dxfId="35" priority="2">
      <formula>$D$6="x"</formula>
    </cfRule>
  </conditionalFormatting>
  <pageMargins left="0.7" right="0.7" top="0.78740157499999996" bottom="0.78740157499999996" header="0.3" footer="0.3"/>
  <pageSetup paperSize="9" scale="74" fitToWidth="0" fitToHeight="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4">
    <tabColor theme="4" tint="-0.499984740745262"/>
  </sheetPr>
  <dimension ref="A1:L51"/>
  <sheetViews>
    <sheetView zoomScaleNormal="100" workbookViewId="0">
      <selection activeCell="A4" sqref="A4"/>
    </sheetView>
  </sheetViews>
  <sheetFormatPr baseColWidth="10" defaultColWidth="11.44140625" defaultRowHeight="14.4" x14ac:dyDescent="0.3"/>
  <cols>
    <col min="1" max="1" width="11.44140625" style="64"/>
    <col min="2" max="3" width="11.44140625" style="64" customWidth="1"/>
    <col min="4" max="4" width="13" style="64" bestFit="1" customWidth="1"/>
    <col min="5" max="5" width="13.33203125" style="64" customWidth="1"/>
    <col min="6" max="6" width="13.44140625" style="64" customWidth="1"/>
    <col min="7" max="7" width="15.33203125" style="64" customWidth="1"/>
    <col min="8" max="8" width="17.88671875" style="64" customWidth="1"/>
    <col min="9" max="9" width="17.44140625" style="64" customWidth="1"/>
    <col min="10" max="16384" width="11.44140625" style="64"/>
  </cols>
  <sheetData>
    <row r="1" spans="1:11" ht="25.8" x14ac:dyDescent="0.5">
      <c r="A1" s="622" t="s">
        <v>329</v>
      </c>
      <c r="B1" s="654"/>
      <c r="C1" s="654"/>
      <c r="D1" s="654"/>
      <c r="E1" s="654"/>
      <c r="F1" s="467"/>
      <c r="G1" s="627"/>
      <c r="H1" s="627"/>
      <c r="I1" s="620"/>
    </row>
    <row r="2" spans="1:11" ht="25.8" x14ac:dyDescent="0.5">
      <c r="A2" s="710" t="s">
        <v>129</v>
      </c>
      <c r="B2" s="658"/>
      <c r="C2" s="658"/>
      <c r="D2" s="658"/>
      <c r="E2" s="658"/>
      <c r="F2" s="471"/>
      <c r="G2" s="535"/>
      <c r="H2" s="535"/>
      <c r="I2" s="624" t="str">
        <f>+Stammdaten!D2</f>
        <v>Version 1.7</v>
      </c>
    </row>
    <row r="3" spans="1:11" x14ac:dyDescent="0.3">
      <c r="A3" s="393">
        <f>+Stammdaten!B5</f>
        <v>0</v>
      </c>
      <c r="B3" s="482"/>
      <c r="C3" s="307"/>
      <c r="D3" s="307">
        <f>+Stammdaten!B3</f>
        <v>0</v>
      </c>
      <c r="E3" s="307"/>
      <c r="F3" s="482"/>
      <c r="G3" s="711"/>
      <c r="H3" s="625" t="s">
        <v>41</v>
      </c>
      <c r="I3" s="626"/>
    </row>
    <row r="4" spans="1:11" ht="18" x14ac:dyDescent="0.35">
      <c r="A4" s="434"/>
      <c r="B4" s="66"/>
      <c r="C4" s="66"/>
      <c r="D4" s="66"/>
      <c r="E4" s="66"/>
      <c r="F4" s="435"/>
      <c r="G4" s="66"/>
      <c r="H4" s="66"/>
      <c r="I4" s="67"/>
    </row>
    <row r="5" spans="1:11" ht="36" x14ac:dyDescent="0.35">
      <c r="A5" s="71"/>
      <c r="B5" s="66"/>
      <c r="C5" s="66"/>
      <c r="D5" s="66"/>
      <c r="E5" s="66"/>
      <c r="F5" s="66"/>
      <c r="G5" s="461" t="s">
        <v>23</v>
      </c>
      <c r="H5" s="462" t="s">
        <v>40</v>
      </c>
      <c r="I5" s="463" t="s">
        <v>5</v>
      </c>
    </row>
    <row r="6" spans="1:11" x14ac:dyDescent="0.3">
      <c r="A6" s="71"/>
      <c r="B6" s="66"/>
      <c r="C6" s="66"/>
      <c r="D6" s="66"/>
      <c r="E6" s="66"/>
      <c r="F6" s="66"/>
      <c r="G6" s="712"/>
      <c r="H6" s="712"/>
      <c r="I6" s="713"/>
    </row>
    <row r="7" spans="1:11" s="119" customFormat="1" ht="18" x14ac:dyDescent="0.35">
      <c r="A7" s="464" t="s">
        <v>231</v>
      </c>
      <c r="B7" s="465"/>
      <c r="C7" s="465"/>
      <c r="D7" s="465"/>
      <c r="E7" s="465"/>
      <c r="F7" s="465"/>
      <c r="G7" s="714"/>
      <c r="H7" s="455"/>
      <c r="I7" s="456"/>
    </row>
    <row r="8" spans="1:11" ht="18" x14ac:dyDescent="0.35">
      <c r="A8" s="466" t="s">
        <v>324</v>
      </c>
      <c r="B8" s="467"/>
      <c r="C8" s="467"/>
      <c r="D8" s="468"/>
      <c r="E8" s="467"/>
      <c r="F8" s="467"/>
      <c r="G8" s="457" t="e">
        <f>+H8+I8</f>
        <v>#DIV/0!</v>
      </c>
      <c r="H8" s="457" t="e">
        <f>+'B_1 Geb. Kaltmiete'!E122</f>
        <v>#DIV/0!</v>
      </c>
      <c r="I8" s="458" t="e">
        <f>+'B_1 Geb. Kaltmiete'!F122</f>
        <v>#DIV/0!</v>
      </c>
      <c r="K8" s="440"/>
    </row>
    <row r="9" spans="1:11" ht="18" x14ac:dyDescent="0.35">
      <c r="A9" s="469" t="s">
        <v>122</v>
      </c>
      <c r="B9" s="470"/>
      <c r="C9" s="471"/>
      <c r="D9" s="472"/>
      <c r="E9" s="473"/>
      <c r="F9" s="470"/>
      <c r="G9" s="459" t="e">
        <f>+H9+I9</f>
        <v>#DIV/0!</v>
      </c>
      <c r="H9" s="459" t="e">
        <f>'C_1 Nebenk.'!D37</f>
        <v>#DIV/0!</v>
      </c>
      <c r="I9" s="460" t="e">
        <f>+'C_1 Nebenk.'!F37</f>
        <v>#DIV/0!</v>
      </c>
      <c r="J9" s="76"/>
      <c r="K9" s="440"/>
    </row>
    <row r="10" spans="1:11" ht="18" x14ac:dyDescent="0.35">
      <c r="A10" s="474" t="s">
        <v>68</v>
      </c>
      <c r="B10" s="475"/>
      <c r="C10" s="476"/>
      <c r="D10" s="477"/>
      <c r="E10" s="478"/>
      <c r="F10" s="479"/>
      <c r="G10" s="459" t="e">
        <f>IF('D Ausstatt.'!D30&gt;0,+H10+I10,0)</f>
        <v>#DIV/0!</v>
      </c>
      <c r="H10" s="459" t="e">
        <f>IF('D Ausstatt.'!D30&gt;0,'D Ausstatt.'!E30,0)</f>
        <v>#DIV/0!</v>
      </c>
      <c r="I10" s="460" t="e">
        <f>IF('D Ausstatt.'!D30&gt;0,'D Ausstatt.'!F30,0)</f>
        <v>#DIV/0!</v>
      </c>
      <c r="K10" s="440"/>
    </row>
    <row r="11" spans="1:11" ht="18" x14ac:dyDescent="0.35">
      <c r="A11" s="480" t="s">
        <v>213</v>
      </c>
      <c r="B11" s="481"/>
      <c r="C11" s="482"/>
      <c r="D11" s="483"/>
      <c r="E11" s="484"/>
      <c r="F11" s="485"/>
      <c r="G11" s="715"/>
      <c r="H11" s="455"/>
      <c r="I11" s="456"/>
    </row>
    <row r="12" spans="1:11" ht="18" x14ac:dyDescent="0.35">
      <c r="A12" s="486" t="s">
        <v>326</v>
      </c>
      <c r="B12" s="487"/>
      <c r="C12" s="487"/>
      <c r="D12" s="488"/>
      <c r="E12" s="487"/>
      <c r="F12" s="487"/>
      <c r="G12" s="447" t="e">
        <f>(SUM(G8:G10)-'B_1 Geb. Kaltmiete'!E120*0.5)*0.03</f>
        <v>#DIV/0!</v>
      </c>
      <c r="H12" s="447">
        <v>0</v>
      </c>
      <c r="I12" s="448" t="e">
        <f>+G12</f>
        <v>#DIV/0!</v>
      </c>
    </row>
    <row r="13" spans="1:11" ht="18" x14ac:dyDescent="0.35">
      <c r="A13" s="486" t="s">
        <v>325</v>
      </c>
      <c r="B13" s="489"/>
      <c r="C13" s="489"/>
      <c r="D13" s="490"/>
      <c r="E13" s="489"/>
      <c r="F13" s="489"/>
      <c r="G13" s="449">
        <f>IF('B_2 Sonder-Infrastr.'!H29&gt;0,'B_2 Sonder-Infrastr.'!D166,0)</f>
        <v>0</v>
      </c>
      <c r="H13" s="449">
        <f>IF('B_2 Sonder-Infrastr.'!H29&gt;0,'B_2 Sonder-Infrastr.'!E166,0)</f>
        <v>0</v>
      </c>
      <c r="I13" s="450">
        <f>IF('B_2 Sonder-Infrastr.'!H29&gt;0,'B_2 Sonder-Infrastr.'!F166,0)</f>
        <v>0</v>
      </c>
    </row>
    <row r="14" spans="1:11" ht="18" x14ac:dyDescent="0.35">
      <c r="A14" s="486" t="s">
        <v>294</v>
      </c>
      <c r="B14" s="491"/>
      <c r="C14" s="489"/>
      <c r="D14" s="490"/>
      <c r="E14" s="492"/>
      <c r="F14" s="491"/>
      <c r="G14" s="451">
        <f>IF('C_2 NK Sonder-Infrastr.'!C29&gt;0,'C_2 NK Sonder-Infrastr.'!C35,0)</f>
        <v>0</v>
      </c>
      <c r="H14" s="451">
        <f>IF('C_2 NK Sonder-Infrastr.'!D29&gt;0,'C_2 NK Sonder-Infrastr.'!D35,0)</f>
        <v>0</v>
      </c>
      <c r="I14" s="452">
        <f>IF('C_2 NK Sonder-Infrastr.'!E29&gt;0,'C_2 NK Sonder-Infrastr.'!E35,0)</f>
        <v>0</v>
      </c>
    </row>
    <row r="15" spans="1:11" ht="18" x14ac:dyDescent="0.35">
      <c r="A15" s="1057" t="s">
        <v>192</v>
      </c>
      <c r="B15" s="1058"/>
      <c r="C15" s="1058"/>
      <c r="D15" s="1058"/>
      <c r="E15" s="1058"/>
      <c r="F15" s="1059"/>
      <c r="G15" s="453" t="e">
        <f>+G8+G9+G10+G12+G13+G14</f>
        <v>#DIV/0!</v>
      </c>
      <c r="H15" s="453" t="e">
        <f>+H8+H9+H10+H12+H13+H14</f>
        <v>#DIV/0!</v>
      </c>
      <c r="I15" s="454" t="e">
        <f>+I8+I9+I10+I12+I13+I14</f>
        <v>#DIV/0!</v>
      </c>
    </row>
    <row r="16" spans="1:11" ht="15" thickBot="1" x14ac:dyDescent="0.35">
      <c r="A16" s="493"/>
      <c r="B16" s="470"/>
      <c r="C16" s="470"/>
      <c r="D16" s="470"/>
      <c r="E16" s="473"/>
      <c r="F16" s="470"/>
      <c r="G16" s="436"/>
      <c r="H16" s="437"/>
      <c r="I16" s="438"/>
    </row>
    <row r="17" spans="1:12" x14ac:dyDescent="0.3">
      <c r="A17" s="1063" t="s">
        <v>295</v>
      </c>
      <c r="B17" s="1064"/>
      <c r="C17" s="1064"/>
      <c r="D17" s="1064"/>
      <c r="E17" s="1064"/>
      <c r="F17" s="1064"/>
      <c r="G17" s="1064"/>
      <c r="H17" s="1064"/>
      <c r="I17" s="1065"/>
    </row>
    <row r="18" spans="1:12" x14ac:dyDescent="0.3">
      <c r="A18" s="1066"/>
      <c r="B18" s="1067"/>
      <c r="C18" s="1067"/>
      <c r="D18" s="1067"/>
      <c r="E18" s="1067"/>
      <c r="F18" s="1067"/>
      <c r="G18" s="1067"/>
      <c r="H18" s="1067"/>
      <c r="I18" s="1068"/>
    </row>
    <row r="19" spans="1:12" x14ac:dyDescent="0.3">
      <c r="A19" s="1066"/>
      <c r="B19" s="1067"/>
      <c r="C19" s="1067"/>
      <c r="D19" s="1067"/>
      <c r="E19" s="1067"/>
      <c r="F19" s="1067"/>
      <c r="G19" s="1067"/>
      <c r="H19" s="1067"/>
      <c r="I19" s="1068"/>
    </row>
    <row r="20" spans="1:12" ht="9.75" customHeight="1" thickBot="1" x14ac:dyDescent="0.35">
      <c r="A20" s="1069"/>
      <c r="B20" s="1070"/>
      <c r="C20" s="1070"/>
      <c r="D20" s="1070"/>
      <c r="E20" s="1070"/>
      <c r="F20" s="1070"/>
      <c r="G20" s="1070"/>
      <c r="H20" s="1070"/>
      <c r="I20" s="1071"/>
    </row>
    <row r="21" spans="1:12" ht="42" customHeight="1" x14ac:dyDescent="0.3">
      <c r="A21" s="1060" t="s">
        <v>327</v>
      </c>
      <c r="B21" s="1061"/>
      <c r="C21" s="1061"/>
      <c r="D21" s="1061"/>
      <c r="E21" s="1061"/>
      <c r="F21" s="1062"/>
      <c r="G21" s="716"/>
      <c r="H21" s="439"/>
      <c r="I21" s="717"/>
    </row>
    <row r="22" spans="1:12" ht="18.600000000000001" thickBot="1" x14ac:dyDescent="0.4">
      <c r="A22" s="718" t="s">
        <v>124</v>
      </c>
      <c r="B22" s="719"/>
      <c r="C22" s="719"/>
      <c r="D22" s="719"/>
      <c r="E22" s="720"/>
      <c r="F22" s="719"/>
      <c r="G22" s="721"/>
      <c r="H22" s="446">
        <f>H21</f>
        <v>0</v>
      </c>
      <c r="I22" s="722"/>
    </row>
    <row r="23" spans="1:12" x14ac:dyDescent="0.3">
      <c r="A23" s="493"/>
      <c r="B23" s="470"/>
      <c r="C23" s="470"/>
      <c r="D23" s="470"/>
      <c r="E23" s="473"/>
      <c r="F23" s="470"/>
      <c r="G23" s="723"/>
      <c r="H23" s="724"/>
      <c r="I23" s="725"/>
    </row>
    <row r="24" spans="1:12" ht="18" x14ac:dyDescent="0.35">
      <c r="A24" s="480" t="s">
        <v>126</v>
      </c>
      <c r="B24" s="726"/>
      <c r="C24" s="726"/>
      <c r="D24" s="726"/>
      <c r="E24" s="727"/>
      <c r="F24" s="726"/>
      <c r="G24" s="444" t="e">
        <f>+H24+I24</f>
        <v>#DIV/0!</v>
      </c>
      <c r="H24" s="444" t="e">
        <f>+H15-H22</f>
        <v>#DIV/0!</v>
      </c>
      <c r="I24" s="445" t="e">
        <f>+I15-I21</f>
        <v>#DIV/0!</v>
      </c>
    </row>
    <row r="25" spans="1:12" ht="15" thickBot="1" x14ac:dyDescent="0.35">
      <c r="A25" s="443" t="e">
        <f>+IF('E Mietber.'!H24&lt;0,"Achtung! Da KdU&lt;100% ggfs Regelsatz-Absenkung für Nebenkosten wegen anderweitiger Bedarfsdeckung","")</f>
        <v>#DIV/0!</v>
      </c>
      <c r="B25" s="470"/>
      <c r="C25" s="470"/>
      <c r="D25" s="470"/>
      <c r="E25" s="473"/>
      <c r="F25" s="470"/>
      <c r="G25" s="723"/>
      <c r="H25" s="724"/>
      <c r="I25" s="725"/>
    </row>
    <row r="26" spans="1:12" x14ac:dyDescent="0.3">
      <c r="A26" s="1072" t="s">
        <v>296</v>
      </c>
      <c r="B26" s="1073"/>
      <c r="C26" s="1073"/>
      <c r="D26" s="1073"/>
      <c r="E26" s="1073"/>
      <c r="F26" s="1073"/>
      <c r="G26" s="1073"/>
      <c r="H26" s="1073"/>
      <c r="I26" s="1074"/>
    </row>
    <row r="27" spans="1:12" x14ac:dyDescent="0.3">
      <c r="A27" s="1075"/>
      <c r="B27" s="1076"/>
      <c r="C27" s="1076"/>
      <c r="D27" s="1076"/>
      <c r="E27" s="1076"/>
      <c r="F27" s="1076"/>
      <c r="G27" s="1076"/>
      <c r="H27" s="1076"/>
      <c r="I27" s="1077"/>
      <c r="K27" s="440"/>
    </row>
    <row r="28" spans="1:12" ht="20.25" customHeight="1" thickBot="1" x14ac:dyDescent="0.35">
      <c r="A28" s="1078"/>
      <c r="B28" s="1079"/>
      <c r="C28" s="1079"/>
      <c r="D28" s="1079"/>
      <c r="E28" s="1079"/>
      <c r="F28" s="1079"/>
      <c r="G28" s="1079"/>
      <c r="H28" s="1079"/>
      <c r="I28" s="1080"/>
    </row>
    <row r="29" spans="1:12" ht="18" x14ac:dyDescent="0.35">
      <c r="A29" s="944" t="s">
        <v>29</v>
      </c>
      <c r="B29" s="476"/>
      <c r="C29" s="476"/>
      <c r="D29" s="476"/>
      <c r="E29" s="945">
        <v>0.25</v>
      </c>
      <c r="F29" s="946">
        <f>+E29*H22</f>
        <v>0</v>
      </c>
      <c r="G29" s="728"/>
      <c r="H29" s="729"/>
      <c r="I29" s="717"/>
      <c r="L29" s="440"/>
    </row>
    <row r="30" spans="1:12" ht="18.600000000000001" thickBot="1" x14ac:dyDescent="0.4">
      <c r="A30" s="718" t="s">
        <v>125</v>
      </c>
      <c r="B30" s="719"/>
      <c r="C30" s="719"/>
      <c r="D30" s="719"/>
      <c r="E30" s="720"/>
      <c r="F30" s="719"/>
      <c r="G30" s="721"/>
      <c r="H30" s="446" t="e">
        <f>+IF(H24&lt;F29,H24,F29)</f>
        <v>#DIV/0!</v>
      </c>
      <c r="I30" s="722"/>
    </row>
    <row r="31" spans="1:12" ht="15" thickBot="1" x14ac:dyDescent="0.35">
      <c r="A31" s="736"/>
      <c r="B31" s="471"/>
      <c r="C31" s="471"/>
      <c r="D31" s="471"/>
      <c r="E31" s="471"/>
      <c r="F31" s="471"/>
      <c r="G31" s="730"/>
      <c r="H31" s="730"/>
      <c r="I31" s="731"/>
    </row>
    <row r="32" spans="1:12" ht="26.4" thickBot="1" x14ac:dyDescent="0.55000000000000004">
      <c r="A32" s="732" t="s">
        <v>52</v>
      </c>
      <c r="B32" s="733"/>
      <c r="C32" s="733"/>
      <c r="D32" s="733"/>
      <c r="E32" s="734"/>
      <c r="F32" s="733"/>
      <c r="G32" s="494"/>
      <c r="H32" s="494" t="e">
        <f>+H30+H22</f>
        <v>#DIV/0!</v>
      </c>
      <c r="I32" s="735"/>
      <c r="K32" s="440"/>
    </row>
    <row r="33" spans="1:9" x14ac:dyDescent="0.3">
      <c r="A33" s="736"/>
      <c r="B33" s="471"/>
      <c r="C33" s="471"/>
      <c r="D33" s="471"/>
      <c r="E33" s="471"/>
      <c r="F33" s="471"/>
      <c r="G33" s="712"/>
      <c r="H33" s="712"/>
      <c r="I33" s="713"/>
    </row>
    <row r="34" spans="1:9" ht="18" x14ac:dyDescent="0.35">
      <c r="A34" s="480" t="s">
        <v>126</v>
      </c>
      <c r="B34" s="726"/>
      <c r="C34" s="726"/>
      <c r="D34" s="726"/>
      <c r="E34" s="727"/>
      <c r="F34" s="726"/>
      <c r="G34" s="444" t="e">
        <f>+H34+I34</f>
        <v>#DIV/0!</v>
      </c>
      <c r="H34" s="444" t="e">
        <f>+H24-H30</f>
        <v>#DIV/0!</v>
      </c>
      <c r="I34" s="445" t="e">
        <f>+I24-I29</f>
        <v>#DIV/0!</v>
      </c>
    </row>
    <row r="35" spans="1:9" ht="15" thickBot="1" x14ac:dyDescent="0.35">
      <c r="A35" s="736"/>
      <c r="B35" s="471"/>
      <c r="C35" s="471"/>
      <c r="D35" s="471"/>
      <c r="E35" s="471"/>
      <c r="F35" s="471"/>
      <c r="G35" s="712"/>
      <c r="H35" s="712"/>
      <c r="I35" s="713"/>
    </row>
    <row r="36" spans="1:9" x14ac:dyDescent="0.3">
      <c r="A36" s="1081" t="s">
        <v>297</v>
      </c>
      <c r="B36" s="1082"/>
      <c r="C36" s="1082"/>
      <c r="D36" s="1082"/>
      <c r="E36" s="1082"/>
      <c r="F36" s="1082"/>
      <c r="G36" s="1082"/>
      <c r="H36" s="1082"/>
      <c r="I36" s="1083"/>
    </row>
    <row r="37" spans="1:9" x14ac:dyDescent="0.3">
      <c r="A37" s="1084"/>
      <c r="B37" s="1085"/>
      <c r="C37" s="1085"/>
      <c r="D37" s="1085"/>
      <c r="E37" s="1085"/>
      <c r="F37" s="1085"/>
      <c r="G37" s="1085"/>
      <c r="H37" s="1085"/>
      <c r="I37" s="1086"/>
    </row>
    <row r="38" spans="1:9" ht="21" customHeight="1" thickBot="1" x14ac:dyDescent="0.35">
      <c r="A38" s="1087"/>
      <c r="B38" s="1088"/>
      <c r="C38" s="1088"/>
      <c r="D38" s="1088"/>
      <c r="E38" s="1088"/>
      <c r="F38" s="1088"/>
      <c r="G38" s="1088"/>
      <c r="H38" s="1088"/>
      <c r="I38" s="1089"/>
    </row>
    <row r="39" spans="1:9" ht="18.600000000000001" thickBot="1" x14ac:dyDescent="0.4">
      <c r="A39" s="737" t="s">
        <v>127</v>
      </c>
      <c r="B39" s="738"/>
      <c r="C39" s="738"/>
      <c r="D39" s="738"/>
      <c r="E39" s="738"/>
      <c r="F39" s="738"/>
      <c r="G39" s="739"/>
      <c r="H39" s="495" t="e">
        <f>+H34</f>
        <v>#DIV/0!</v>
      </c>
      <c r="I39" s="740"/>
    </row>
    <row r="40" spans="1:9" x14ac:dyDescent="0.3">
      <c r="A40" s="736"/>
      <c r="B40" s="471"/>
      <c r="C40" s="471"/>
      <c r="D40" s="471"/>
      <c r="E40" s="471"/>
      <c r="F40" s="471"/>
      <c r="G40" s="712"/>
      <c r="H40" s="712"/>
      <c r="I40" s="713"/>
    </row>
    <row r="41" spans="1:9" ht="18" x14ac:dyDescent="0.35">
      <c r="A41" s="480" t="s">
        <v>126</v>
      </c>
      <c r="B41" s="726"/>
      <c r="C41" s="726"/>
      <c r="D41" s="726"/>
      <c r="E41" s="727"/>
      <c r="F41" s="726"/>
      <c r="G41" s="444" t="e">
        <f>+H41+I41</f>
        <v>#DIV/0!</v>
      </c>
      <c r="H41" s="444" t="e">
        <f>+H34-H39</f>
        <v>#DIV/0!</v>
      </c>
      <c r="I41" s="445" t="e">
        <f>+I34-I39</f>
        <v>#DIV/0!</v>
      </c>
    </row>
    <row r="42" spans="1:9" ht="15" thickBot="1" x14ac:dyDescent="0.35">
      <c r="A42" s="736"/>
      <c r="B42" s="471"/>
      <c r="C42" s="471"/>
      <c r="D42" s="471"/>
      <c r="E42" s="471"/>
      <c r="F42" s="471"/>
      <c r="G42" s="712"/>
      <c r="H42" s="712"/>
      <c r="I42" s="713"/>
    </row>
    <row r="43" spans="1:9" x14ac:dyDescent="0.3">
      <c r="A43" s="1090" t="s">
        <v>298</v>
      </c>
      <c r="B43" s="1091"/>
      <c r="C43" s="1091"/>
      <c r="D43" s="1091"/>
      <c r="E43" s="1091"/>
      <c r="F43" s="1091"/>
      <c r="G43" s="1091"/>
      <c r="H43" s="1091"/>
      <c r="I43" s="1092"/>
    </row>
    <row r="44" spans="1:9" x14ac:dyDescent="0.3">
      <c r="A44" s="1093"/>
      <c r="B44" s="1094"/>
      <c r="C44" s="1094"/>
      <c r="D44" s="1094"/>
      <c r="E44" s="1094"/>
      <c r="F44" s="1094"/>
      <c r="G44" s="1094"/>
      <c r="H44" s="1094"/>
      <c r="I44" s="1095"/>
    </row>
    <row r="45" spans="1:9" ht="15" thickBot="1" x14ac:dyDescent="0.35">
      <c r="A45" s="1096"/>
      <c r="B45" s="1097"/>
      <c r="C45" s="1097"/>
      <c r="D45" s="1097"/>
      <c r="E45" s="1097"/>
      <c r="F45" s="1097"/>
      <c r="G45" s="1097"/>
      <c r="H45" s="1097"/>
      <c r="I45" s="1098"/>
    </row>
    <row r="46" spans="1:9" ht="18.600000000000001" thickBot="1" x14ac:dyDescent="0.4">
      <c r="A46" s="741" t="s">
        <v>128</v>
      </c>
      <c r="B46" s="742"/>
      <c r="C46" s="742"/>
      <c r="D46" s="742"/>
      <c r="E46" s="743"/>
      <c r="F46" s="742"/>
      <c r="G46" s="744"/>
      <c r="H46" s="744"/>
      <c r="I46" s="496" t="e">
        <f>+I41</f>
        <v>#DIV/0!</v>
      </c>
    </row>
    <row r="47" spans="1:9" ht="15" thickBot="1" x14ac:dyDescent="0.35">
      <c r="A47" s="736"/>
      <c r="B47" s="471"/>
      <c r="C47" s="471"/>
      <c r="D47" s="471"/>
      <c r="E47" s="471"/>
      <c r="F47" s="471"/>
      <c r="G47" s="712"/>
      <c r="H47" s="712"/>
      <c r="I47" s="713"/>
    </row>
    <row r="48" spans="1:9" ht="26.4" thickBot="1" x14ac:dyDescent="0.55000000000000004">
      <c r="A48" s="732" t="s">
        <v>157</v>
      </c>
      <c r="B48" s="733"/>
      <c r="C48" s="733"/>
      <c r="D48" s="733"/>
      <c r="E48" s="734"/>
      <c r="F48" s="733"/>
      <c r="G48" s="494"/>
      <c r="H48" s="1055" t="e">
        <f>+H39+I46</f>
        <v>#DIV/0!</v>
      </c>
      <c r="I48" s="1056"/>
    </row>
    <row r="49" spans="1:9" x14ac:dyDescent="0.3">
      <c r="A49" s="442"/>
      <c r="B49" s="442"/>
      <c r="C49" s="442"/>
      <c r="D49" s="442"/>
      <c r="E49" s="442"/>
      <c r="F49" s="442"/>
      <c r="G49" s="442"/>
      <c r="H49" s="442"/>
      <c r="I49" s="442"/>
    </row>
    <row r="50" spans="1:9" x14ac:dyDescent="0.3">
      <c r="A50" s="745" t="s">
        <v>42</v>
      </c>
      <c r="B50" s="746"/>
      <c r="C50" s="746"/>
      <c r="D50" s="746"/>
      <c r="E50" s="747"/>
      <c r="F50" s="746"/>
      <c r="G50" s="613" t="e">
        <f>+H50+I50</f>
        <v>#DIV/0!</v>
      </c>
      <c r="H50" s="613" t="e">
        <f>+H41-H46</f>
        <v>#DIV/0!</v>
      </c>
      <c r="I50" s="612" t="e">
        <f>+I41-I46</f>
        <v>#DIV/0!</v>
      </c>
    </row>
    <row r="51" spans="1:9" x14ac:dyDescent="0.3">
      <c r="A51" s="745" t="s">
        <v>43</v>
      </c>
      <c r="B51" s="746"/>
      <c r="C51" s="746"/>
      <c r="D51" s="746"/>
      <c r="E51" s="747"/>
      <c r="F51" s="746"/>
      <c r="G51" s="613" t="e">
        <f>+H51+I51</f>
        <v>#DIV/0!</v>
      </c>
      <c r="H51" s="613" t="e">
        <f>+H15-H22-H30-H39</f>
        <v>#DIV/0!</v>
      </c>
      <c r="I51" s="612" t="e">
        <f>+I15-I22-I30-I39-I46</f>
        <v>#DIV/0!</v>
      </c>
    </row>
  </sheetData>
  <sheetProtection password="A41D" sheet="1" objects="1" scenarios="1"/>
  <mergeCells count="7">
    <mergeCell ref="H48:I48"/>
    <mergeCell ref="A15:F15"/>
    <mergeCell ref="A21:F21"/>
    <mergeCell ref="A17:I20"/>
    <mergeCell ref="A26:I28"/>
    <mergeCell ref="A36:I38"/>
    <mergeCell ref="A43:I45"/>
  </mergeCells>
  <conditionalFormatting sqref="A25">
    <cfRule type="containsErrors" dxfId="34" priority="3">
      <formula>ISERROR(A25)</formula>
    </cfRule>
  </conditionalFormatting>
  <conditionalFormatting sqref="G50:I51">
    <cfRule type="expression" dxfId="33" priority="1">
      <formula>OR(G50&lt;-0.0009,G50&gt;0.0009)</formula>
    </cfRule>
  </conditionalFormatting>
  <pageMargins left="0.7" right="0.7" top="0.78740157499999996" bottom="0.78740157499999996" header="0.3" footer="0.3"/>
  <pageSetup paperSize="9" scale="70" fitToWidth="0" fitToHeight="0"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Stammdaten</vt:lpstr>
      <vt:lpstr>Erg.-Übersicht</vt:lpstr>
      <vt:lpstr>A Flächen</vt:lpstr>
      <vt:lpstr>B_1 Geb. Kaltmiete</vt:lpstr>
      <vt:lpstr>B_2 Sonder-Infrastr.</vt:lpstr>
      <vt:lpstr>C_1 Nebenk.</vt:lpstr>
      <vt:lpstr>C_2 NK Sonder-Infrastr.</vt:lpstr>
      <vt:lpstr>D Ausstatt.</vt:lpstr>
      <vt:lpstr>E Mietber.</vt:lpstr>
      <vt:lpstr>Zimmer-Kat.</vt:lpstr>
      <vt:lpstr>Anlage atyp. Ausstattung</vt:lpstr>
      <vt:lpstr>Anl. Verw.kosten</vt:lpstr>
      <vt:lpstr>'A Flächen'!Druckbereich</vt:lpstr>
      <vt:lpstr>'Anlage atyp. Ausstattung'!Druckbereich</vt:lpstr>
      <vt:lpstr>'B_1 Geb. Kaltmiete'!Druckbereich</vt:lpstr>
      <vt:lpstr>'B_2 Sonder-Infrastr.'!Druckbereich</vt:lpstr>
      <vt:lpstr>'C_1 Nebenk.'!Druckbereich</vt:lpstr>
      <vt:lpstr>'C_2 NK Sonder-Infrastr.'!Druckbereich</vt:lpstr>
      <vt:lpstr>'D Ausstatt.'!Druckbereich</vt:lpstr>
      <vt:lpstr>'E Mietber.'!Druckbereich</vt:lpstr>
      <vt:lpstr>'Erg.-Übersicht'!Druckbereich</vt:lpstr>
      <vt:lpstr>Stammdaten!Druckbereich</vt:lpstr>
      <vt:lpstr>'Zimmer-Kat.'!Druckbereich</vt:lpstr>
    </vt:vector>
  </TitlesOfParts>
  <Company>Stiftung Liebenau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Schyra, Matthias</dc:creator>
  <cp:lastModifiedBy>Ströbl, Ulrike</cp:lastModifiedBy>
  <cp:lastPrinted>2022-07-01T09:36:14Z</cp:lastPrinted>
  <dcterms:created xsi:type="dcterms:W3CDTF">2017-07-26T12:10:48Z</dcterms:created>
  <dcterms:modified xsi:type="dcterms:W3CDTF">2023-02-13T11:55:43Z</dcterms:modified>
</cp:coreProperties>
</file>